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GOyurjW874PTCoGaiZrHm0TnZi8drl7ekxazR8EzsgPqho+ni90PyHREv7yr05ExRNKi9LmDoNMzW+AYaN7vg==" workbookSaltValue="7bOjWE+rk5gilJu75rQ9r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L21" i="2" s="1"/>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N23" i="2"/>
  <c r="F30" i="17"/>
  <c r="F14" i="7"/>
  <c r="BK21" i="11"/>
  <c r="V13" i="11"/>
  <c r="AP22" i="20"/>
  <c r="BL25" i="11"/>
  <c r="BM20" i="11"/>
  <c r="BU28" i="17"/>
  <c r="BW9" i="20"/>
  <c r="BV17" i="16"/>
  <c r="BV25" i="16"/>
  <c r="U10" i="17"/>
  <c r="BU18" i="17"/>
  <c r="BU17" i="17"/>
  <c r="T14" i="16"/>
  <c r="AA20" i="16"/>
  <c r="AZ17" i="11"/>
  <c r="BF20" i="11"/>
  <c r="S16" i="16"/>
  <c r="BL20" i="11"/>
  <c r="BL16" i="11"/>
  <c r="BH21" i="11"/>
  <c r="AZ25" i="11"/>
  <c r="AZ30" i="11" s="1"/>
  <c r="BK17" i="11"/>
  <c r="BM18" i="11"/>
  <c r="BH17" i="11"/>
  <c r="AQ12" i="21"/>
  <c r="BH25" i="11"/>
  <c r="BI21" i="11"/>
  <c r="T14" i="20"/>
  <c r="BF25" i="8"/>
  <c r="BG16" i="8"/>
  <c r="BD9" i="8"/>
  <c r="BF9" i="8"/>
  <c r="L22" i="2"/>
  <c r="C30" i="7"/>
  <c r="L16" i="2"/>
  <c r="X19" i="16"/>
  <c r="L18" i="2"/>
  <c r="AO14" i="21"/>
  <c r="L20" i="2"/>
  <c r="AA11" i="16"/>
  <c r="AP14" i="16"/>
  <c r="AA9" i="16"/>
  <c r="V9" i="16"/>
  <c r="T23" i="17"/>
  <c r="T26" i="17" s="1"/>
  <c r="T30" i="17" s="1"/>
  <c r="BG16" i="13"/>
  <c r="BE17" i="13"/>
  <c r="BE16" i="13"/>
  <c r="G30" i="14"/>
  <c r="G23" i="14"/>
  <c r="X32" i="20"/>
  <c r="BF17" i="8" l="1"/>
  <c r="BD12" i="8"/>
  <c r="I10" i="3"/>
  <c r="E10" i="3"/>
  <c r="L29" i="2"/>
  <c r="H28" i="2"/>
  <c r="X13" i="16"/>
  <c r="V25" i="16"/>
  <c r="L9" i="2"/>
  <c r="U9" i="17"/>
  <c r="U31" i="17" s="1"/>
  <c r="L19" i="2"/>
  <c r="X10" i="21"/>
  <c r="L13" i="2"/>
  <c r="L25" i="2"/>
  <c r="L12" i="2"/>
  <c r="S17" i="17"/>
  <c r="S16" i="17"/>
  <c r="X21" i="20"/>
  <c r="L28" i="2"/>
  <c r="L10" i="2"/>
  <c r="BH22" i="11"/>
  <c r="BL17" i="11"/>
  <c r="BK10" i="11"/>
  <c r="BI22" i="11"/>
  <c r="BL22" i="11"/>
  <c r="BF16" i="11"/>
  <c r="Q16" i="17"/>
  <c r="BJ10" i="11"/>
  <c r="BK20" i="11"/>
  <c r="BH25" i="16"/>
  <c r="BF12" i="11"/>
  <c r="P16" i="17"/>
  <c r="T17" i="11"/>
  <c r="R28" i="14"/>
  <c r="AZ22" i="11"/>
  <c r="BV20" i="16"/>
  <c r="S11" i="17"/>
  <c r="BV10" i="16"/>
  <c r="BW16" i="20"/>
  <c r="BW17" i="20"/>
  <c r="BU21" i="17"/>
  <c r="BU11" i="17"/>
  <c r="BJ28" i="11"/>
  <c r="AZ9" i="11"/>
  <c r="AZ14" i="11" s="1"/>
  <c r="AZ13" i="11"/>
  <c r="BI19" i="11"/>
  <c r="BI25" i="11"/>
  <c r="BG22" i="11"/>
  <c r="Q18" i="20"/>
  <c r="Q23" i="20" s="1"/>
  <c r="V16" i="11"/>
  <c r="Z14" i="17"/>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U32" i="20"/>
  <c r="BH32" i="16"/>
  <c r="AO32" i="11"/>
  <c r="J32" i="21"/>
  <c r="O32" i="21"/>
  <c r="AG32" i="11"/>
  <c r="AE32" i="16"/>
  <c r="I32" i="12"/>
  <c r="Q32" i="16"/>
  <c r="P32" i="16"/>
  <c r="X32" i="21"/>
  <c r="S32" i="21"/>
  <c r="AY32" i="21"/>
  <c r="Z32" i="17"/>
  <c r="AK32" i="16"/>
  <c r="AC32" i="21"/>
  <c r="AL32" i="11"/>
  <c r="T32" i="16"/>
  <c r="P32" i="17"/>
  <c r="Q32" i="11"/>
  <c r="AA32" i="21"/>
  <c r="Z32" i="21"/>
  <c r="J32" i="16"/>
  <c r="AC32" i="16"/>
  <c r="W32" i="16"/>
  <c r="U32" i="16"/>
  <c r="AS32" i="21"/>
  <c r="AB32" i="16"/>
  <c r="AI32" i="11"/>
  <c r="S32" i="16"/>
  <c r="E32" i="21"/>
  <c r="D32" i="12"/>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H32" i="21"/>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<sst xmlns="http://schemas.openxmlformats.org/spreadsheetml/2006/main" count="2682" uniqueCount="1193">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</sst>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wai+IUYaFNTipHJJZUFgJix8woHY29Qbm8p1Uxk4flSY0AlvFfzWTViCAPkWfqPAxYoUKOpsVYwAxyyaXksdg==" saltValue="TVzzZE4XLlsXJEenusAU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24</v>
      </c>
      <c r="F10" s="240">
        <f>IF(ISNUMBER(Datos!K10),Datos!K10," - ")</f>
        <v>23</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5.2608695652173916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7.3170080142475511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24</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541</v>
      </c>
      <c r="D17" s="239">
        <f>IF(ISNUMBER(IF(D_I="SI",Datos!I17,Datos!I17+Datos!AC17)),IF(D_I="SI",Datos!I17,Datos!I17+Datos!AC17)," - ")</f>
        <v>553</v>
      </c>
      <c r="E17" s="240">
        <f>IF(ISNUMBER(IF(D_I="SI",Datos!J17,Datos!J17+Datos!AD17)),IF(D_I="SI",Datos!J17,Datos!J17+Datos!AD17)," - ")</f>
        <v>1694</v>
      </c>
      <c r="F17" s="240">
        <f>IF(ISNUMBER(IF(D_I="SI",Datos!K17,Datos!K17+Datos!AE17)),IF(D_I="SI",Datos!K17,Datos!K17+Datos!AE17)," - ")</f>
        <v>1624</v>
      </c>
      <c r="G17" s="1390" t="str">
        <f>IF(Datos!E17&lt;&gt;"",Datos!E17,Datos!D17)</f>
        <v>04</v>
      </c>
      <c r="H17" s="241">
        <f>IF(ISNUMBER(IF(D_I="SI",Datos!L17,Datos!L17+Datos!AF17)),IF(D_I="SI",Datos!L17,Datos!L17+Datos!AF17)," - ")</f>
        <v>611</v>
      </c>
      <c r="I17" s="1400" t="str">
        <f>IF(ISNUMBER(Datos!AS17/Datos!BM17),Datos!AS17/Datos!BM17," - ")</f>
        <v xml:space="preserve"> - </v>
      </c>
      <c r="J17" s="1401">
        <f>IF(ISNUMBER(Datos!BY17/Datos!CN17),Datos!BY17/Datos!CN17," - ")</f>
        <v>0</v>
      </c>
      <c r="K17" s="244">
        <f t="shared" si="3"/>
        <v>0.12939001848428835</v>
      </c>
      <c r="L17" s="1402">
        <f>IF(ISNUMBER(NºAsuntos!I17/NºAsuntos!G17),(NºAsuntos!I17/NºAsuntos!G17)*11," - ")</f>
        <v>4.1385467980295569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152</v>
      </c>
      <c r="F18" s="240">
        <f>IF(ISNUMBER(IF(D_I="SI",Datos!K18,Datos!K18+Datos!AE18)),IF(D_I="SI",Datos!K18,Datos!K18+Datos!AE18)," - ")</f>
        <v>170</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-0.51428571428571423</v>
      </c>
      <c r="L18" s="1402">
        <f>IF(ISNUMBER(NºAsuntos!I18/NºAsuntos!G18),(NºAsuntos!I18/NºAsuntos!G18)*11," - ")</f>
        <v>1.1000000000000001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576</v>
      </c>
      <c r="D23" s="1407">
        <f>SUBTOTAL(9,D16:D22)</f>
        <v>588</v>
      </c>
      <c r="E23" s="1408">
        <f>SUBTOTAL(9,E16:E22)</f>
        <v>1846</v>
      </c>
      <c r="F23" s="1408">
        <f>SUBTOTAL(9,F16:F22)</f>
        <v>1794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586</v>
      </c>
      <c r="D31" s="1435">
        <f>SUBTOTAL(9,D9:D30)</f>
        <v>598</v>
      </c>
      <c r="E31" s="1436">
        <f>SUBTOTAL(9,E9:E30)</f>
        <v>1870</v>
      </c>
      <c r="F31" s="1436">
        <f>SUBTOTAL(9,F9:F30)</f>
        <v>1817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hFbvCXY0D37uucioBsLFhx+olPQ4c3rRe4hU3j3+pWhyfQEVC9SlvjktaTij5gnnOgsUCo3rLcTJw8e2dvC8lw==" saltValue="bVshAccrHnFLZ4wXBmt7p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e6HXwmF3BgmtOKc0HG43hQ+6q/ZTmQuOLiNr7uOyWdTzRlQURd4L97eHig6MbmCRmi8Dt6/YlKuxPN9M9bjSQ==" saltValue="JrEPEBaapQ3m4qRbBCy0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24</v>
      </c>
      <c r="K10" s="194">
        <v>23</v>
      </c>
      <c r="L10" s="194">
        <v>11</v>
      </c>
      <c r="M10" s="194">
        <v>10</v>
      </c>
      <c r="N10" s="194">
        <v>9</v>
      </c>
      <c r="O10" s="194">
        <v>8</v>
      </c>
      <c r="P10" s="194">
        <v>7</v>
      </c>
      <c r="Q10" s="194">
        <v>5</v>
      </c>
      <c r="R10" s="194">
        <v>6</v>
      </c>
      <c r="S10" s="194">
        <v>17</v>
      </c>
      <c r="T10" s="194">
        <v>11</v>
      </c>
      <c r="U10" s="194">
        <v>18</v>
      </c>
      <c r="V10" s="194">
        <v>10</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11</v>
      </c>
      <c r="BA10" s="139">
        <f t="shared" si="0"/>
        <v>18</v>
      </c>
      <c r="BB10" s="139">
        <f t="shared" si="0"/>
        <v>10</v>
      </c>
      <c r="BC10" s="135">
        <f t="shared" si="0"/>
        <v>8</v>
      </c>
      <c r="BD10" s="136">
        <f>IF(ISNUMBER(BA10/AZ10),BA10/AZ10," - ")</f>
        <v>1.6363636363636365</v>
      </c>
      <c r="BE10" s="137">
        <f>IF(ISNUMBER(BB10/BA10),BB10/BA10, " - ")</f>
        <v>0.55555555555555558</v>
      </c>
      <c r="BF10" s="137">
        <f>IF(ISNUMBER(BC10/BA10),BC10/BA10, " - ")</f>
        <v>0.44444444444444442</v>
      </c>
      <c r="BG10" s="209">
        <f>IF(ISNUMBER((AY10+AZ10)/BA10),(AY10+AZ10)/BA10," - ")</f>
        <v>1.5555555555555556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1381</v>
      </c>
      <c r="J12" s="196">
        <v>2083</v>
      </c>
      <c r="K12" s="196">
        <v>2008</v>
      </c>
      <c r="L12" s="196">
        <v>1456</v>
      </c>
      <c r="M12" s="196">
        <v>633</v>
      </c>
      <c r="N12" s="196">
        <v>760</v>
      </c>
      <c r="O12" s="194">
        <v>1042</v>
      </c>
      <c r="P12" s="196">
        <v>515</v>
      </c>
      <c r="Q12" s="196">
        <v>566</v>
      </c>
      <c r="R12" s="196">
        <v>1459</v>
      </c>
      <c r="S12" s="196">
        <v>1684</v>
      </c>
      <c r="T12" s="196">
        <v>1840</v>
      </c>
      <c r="U12" s="196">
        <v>2141</v>
      </c>
      <c r="V12" s="196">
        <v>1381</v>
      </c>
      <c r="W12" s="196">
        <v>605</v>
      </c>
      <c r="X12" s="202">
        <v>768</v>
      </c>
      <c r="Y12" s="204">
        <v>26</v>
      </c>
      <c r="Z12" s="194">
        <v>250</v>
      </c>
      <c r="AA12" s="194">
        <v>238</v>
      </c>
      <c r="AB12" s="194">
        <v>38</v>
      </c>
      <c r="AC12" s="196">
        <v>0</v>
      </c>
      <c r="AD12" s="196">
        <v>0</v>
      </c>
      <c r="AE12" s="196">
        <v>0</v>
      </c>
      <c r="AF12" s="202">
        <v>0</v>
      </c>
      <c r="AG12" s="215">
        <v>51</v>
      </c>
      <c r="AH12" s="196">
        <v>285</v>
      </c>
      <c r="AI12" s="196">
        <v>310</v>
      </c>
      <c r="AJ12" s="216">
        <v>26</v>
      </c>
      <c r="AK12" s="195">
        <v>0</v>
      </c>
      <c r="AL12" s="196">
        <v>0</v>
      </c>
      <c r="AM12" s="196">
        <v>0</v>
      </c>
      <c r="AN12" s="202">
        <v>0</v>
      </c>
      <c r="AO12" s="283">
        <v>3</v>
      </c>
      <c r="AP12" s="168">
        <v>3</v>
      </c>
      <c r="AQ12" s="168">
        <v>3</v>
      </c>
      <c r="AR12" s="167">
        <v>3</v>
      </c>
      <c r="AS12" s="381" t="s">
        <v>1075</v>
      </c>
      <c r="AT12" s="216"/>
      <c r="AU12" s="215"/>
      <c r="AV12" s="216"/>
      <c r="AW12" s="215"/>
      <c r="AX12" s="216"/>
      <c r="AY12" s="136">
        <f t="shared" si="1"/>
        <v>1735</v>
      </c>
      <c r="AZ12" s="137">
        <f t="shared" si="1"/>
        <v>2125</v>
      </c>
      <c r="BA12" s="137">
        <f t="shared" si="1"/>
        <v>2451</v>
      </c>
      <c r="BB12" s="137">
        <f t="shared" si="1"/>
        <v>1407</v>
      </c>
      <c r="BC12" s="135">
        <f>IF(ISNUMBER(X12),X12," - ")</f>
        <v>768</v>
      </c>
      <c r="BD12" s="136">
        <f t="shared" si="2"/>
        <v>1.1534117647058824</v>
      </c>
      <c r="BE12" s="137">
        <f t="shared" si="3"/>
        <v>0.57405140758873929</v>
      </c>
      <c r="BF12" s="137">
        <f t="shared" si="4"/>
        <v>0.31334149326805383</v>
      </c>
      <c r="BG12" s="209">
        <f t="shared" si="5"/>
        <v>1.5748674010607915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1391</v>
      </c>
      <c r="J14" s="197">
        <f t="shared" si="7"/>
        <v>2107</v>
      </c>
      <c r="K14" s="197">
        <f t="shared" si="7"/>
        <v>2031</v>
      </c>
      <c r="L14" s="197">
        <f t="shared" si="7"/>
        <v>1467</v>
      </c>
      <c r="M14" s="197">
        <f t="shared" si="7"/>
        <v>643</v>
      </c>
      <c r="N14" s="197">
        <f t="shared" si="7"/>
        <v>769</v>
      </c>
      <c r="O14" s="197">
        <f t="shared" si="7"/>
        <v>1050</v>
      </c>
      <c r="P14" s="197">
        <f t="shared" si="7"/>
        <v>522</v>
      </c>
      <c r="Q14" s="197">
        <f t="shared" si="7"/>
        <v>571</v>
      </c>
      <c r="R14" s="197">
        <f t="shared" si="7"/>
        <v>1465</v>
      </c>
      <c r="S14" s="197">
        <f t="shared" si="7"/>
        <v>1701</v>
      </c>
      <c r="T14" s="197">
        <f t="shared" si="7"/>
        <v>1851</v>
      </c>
      <c r="U14" s="197">
        <f t="shared" si="7"/>
        <v>2159</v>
      </c>
      <c r="V14" s="197">
        <f t="shared" si="7"/>
        <v>1391</v>
      </c>
      <c r="W14" s="197">
        <f t="shared" si="7"/>
        <v>613</v>
      </c>
      <c r="X14" s="197">
        <f t="shared" si="7"/>
        <v>768</v>
      </c>
      <c r="Y14" s="197">
        <f t="shared" si="7"/>
        <v>26</v>
      </c>
      <c r="Z14" s="197">
        <f t="shared" si="7"/>
        <v>250</v>
      </c>
      <c r="AA14" s="197">
        <f t="shared" si="7"/>
        <v>238</v>
      </c>
      <c r="AB14" s="197">
        <f t="shared" si="7"/>
        <v>38</v>
      </c>
      <c r="AC14" s="197">
        <f t="shared" si="7"/>
        <v>0</v>
      </c>
      <c r="AD14" s="197">
        <f t="shared" si="7"/>
        <v>0</v>
      </c>
      <c r="AE14" s="197">
        <f t="shared" si="7"/>
        <v>0</v>
      </c>
      <c r="AF14" s="197">
        <f>SUBTOTAL(9,AF9:AF13)</f>
        <v>0</v>
      </c>
      <c r="AG14" s="197">
        <f t="shared" ref="AG14:AT14" si="8">SUBTOTAL(9,AG8:AG13)</f>
        <v>51</v>
      </c>
      <c r="AH14" s="197">
        <f t="shared" si="8"/>
        <v>285</v>
      </c>
      <c r="AI14" s="197">
        <f t="shared" si="8"/>
        <v>310</v>
      </c>
      <c r="AJ14" s="197">
        <f t="shared" si="8"/>
        <v>26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1752</v>
      </c>
      <c r="AZ14" s="197">
        <f>SUBTOTAL(9,AZ8:AZ13)</f>
        <v>2136</v>
      </c>
      <c r="BA14" s="197">
        <f>SUBTOTAL(9,BA8:BA13)</f>
        <v>2469</v>
      </c>
      <c r="BB14" s="197">
        <f>SUBTOTAL(9,BB8:BB13)</f>
        <v>1417</v>
      </c>
      <c r="BC14" s="197">
        <f>SUBTOTAL(9,BC8:BC13)</f>
        <v>776</v>
      </c>
      <c r="BD14" s="219">
        <f>IF(ISNUMBER(BA14/AZ14),BA14/AZ14," - ")</f>
        <v>1.1558988764044944</v>
      </c>
      <c r="BE14" s="220">
        <f>IF(ISNUMBER(BB14/BA14),BB14/BA14, " - ")</f>
        <v>0.57391656541109759</v>
      </c>
      <c r="BF14" s="220">
        <f>IF(ISNUMBER(BC14/BA14),BC14/BA14, " - ")</f>
        <v>0.31429728635074927</v>
      </c>
      <c r="BG14" s="221">
        <f>IF(ISNUMBER((AY14+AZ14)/BA14),(AY14+AZ14)/BA14," - ")</f>
        <v>1.574726609963548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553</v>
      </c>
      <c r="J17" s="196">
        <v>1694</v>
      </c>
      <c r="K17" s="196">
        <v>1624</v>
      </c>
      <c r="L17" s="196">
        <v>611</v>
      </c>
      <c r="M17" s="196">
        <v>300</v>
      </c>
      <c r="N17" s="196">
        <v>883</v>
      </c>
      <c r="O17" s="194">
        <v>34</v>
      </c>
      <c r="P17" s="196">
        <v>50</v>
      </c>
      <c r="Q17" s="196">
        <v>50</v>
      </c>
      <c r="R17" s="196">
        <v>68</v>
      </c>
      <c r="S17" s="196">
        <v>598</v>
      </c>
      <c r="T17" s="196">
        <v>1661</v>
      </c>
      <c r="U17" s="196">
        <v>1731</v>
      </c>
      <c r="V17" s="196">
        <v>553</v>
      </c>
      <c r="W17" s="196">
        <v>323</v>
      </c>
      <c r="X17" s="202">
        <v>930</v>
      </c>
      <c r="Y17" s="215">
        <v>0</v>
      </c>
      <c r="Z17" s="196">
        <v>0</v>
      </c>
      <c r="AA17" s="196">
        <v>0</v>
      </c>
      <c r="AB17" s="196">
        <v>0</v>
      </c>
      <c r="AC17" s="196">
        <v>0</v>
      </c>
      <c r="AD17" s="196">
        <v>6</v>
      </c>
      <c r="AE17" s="196">
        <v>6</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598</v>
      </c>
      <c r="AZ17" s="137">
        <f t="shared" si="10"/>
        <v>1661</v>
      </c>
      <c r="BA17" s="137">
        <f t="shared" si="10"/>
        <v>1731</v>
      </c>
      <c r="BB17" s="137">
        <f t="shared" si="10"/>
        <v>553</v>
      </c>
      <c r="BC17" s="135">
        <f>IF(ISNUMBER(W17),W17," - ")</f>
        <v>323</v>
      </c>
      <c r="BD17" s="136">
        <f t="shared" ref="BD17:BD22" si="12">IF(ISNUMBER(BA17/AZ17),BA17/AZ17," - ")</f>
        <v>1.0421432871763998</v>
      </c>
      <c r="BE17" s="137">
        <f t="shared" ref="BE17:BE22" si="13">IF(ISNUMBER(BB17/BA17),BB17/BA17, " - ")</f>
        <v>0.31946851530906989</v>
      </c>
      <c r="BF17" s="137">
        <f t="shared" ref="BF17:BF22" si="14">IF(ISNUMBER(BC17/BA17),BC17/BA17, " - ")</f>
        <v>0.18659734257654534</v>
      </c>
      <c r="BG17" s="209">
        <f t="shared" si="11"/>
        <v>1.3050259965337956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152</v>
      </c>
      <c r="K18" s="196">
        <v>170</v>
      </c>
      <c r="L18" s="196">
        <v>17</v>
      </c>
      <c r="M18" s="196">
        <v>15</v>
      </c>
      <c r="N18" s="196">
        <v>111</v>
      </c>
      <c r="O18" s="196">
        <v>0</v>
      </c>
      <c r="P18" s="196">
        <v>1</v>
      </c>
      <c r="Q18" s="196">
        <v>0</v>
      </c>
      <c r="R18" s="196">
        <v>1</v>
      </c>
      <c r="S18" s="196">
        <v>51</v>
      </c>
      <c r="T18" s="196">
        <v>145</v>
      </c>
      <c r="U18" s="196">
        <v>172</v>
      </c>
      <c r="V18" s="196">
        <v>35</v>
      </c>
      <c r="W18" s="196">
        <v>9</v>
      </c>
      <c r="X18" s="202">
        <v>90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145</v>
      </c>
      <c r="BA18" s="139">
        <f t="shared" si="15"/>
        <v>172</v>
      </c>
      <c r="BB18" s="139">
        <f t="shared" si="15"/>
        <v>35</v>
      </c>
      <c r="BC18" s="135">
        <f>IF(ISNUMBER(W18),W18," - ")</f>
        <v>9</v>
      </c>
      <c r="BD18" s="136">
        <f>IF(ISNUMBER(BA18/AZ18),BA18/AZ18," - ")</f>
        <v>1.1862068965517241</v>
      </c>
      <c r="BE18" s="137">
        <f>IF(ISNUMBER(BB18/BA18),BB18/BA18, " - ")</f>
        <v>0.20348837209302326</v>
      </c>
      <c r="BF18" s="137">
        <f>IF(ISNUMBER(BC18/BA18),BC18/BA18, " - ")</f>
        <v>5.232558139534884E-2</v>
      </c>
      <c r="BG18" s="209">
        <f>IF(ISNUMBER((AY18+AZ18)/BA18),(AY18+AZ18)/BA18," - ")</f>
        <v>1.1395348837209303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588</v>
      </c>
      <c r="J23" s="197">
        <f t="shared" si="21"/>
        <v>1846</v>
      </c>
      <c r="K23" s="197">
        <f t="shared" si="21"/>
        <v>1794</v>
      </c>
      <c r="L23" s="197">
        <f t="shared" si="21"/>
        <v>628</v>
      </c>
      <c r="M23" s="197">
        <f t="shared" si="21"/>
        <v>315</v>
      </c>
      <c r="N23" s="197">
        <f t="shared" si="21"/>
        <v>994</v>
      </c>
      <c r="O23" s="197">
        <f t="shared" si="21"/>
        <v>34</v>
      </c>
      <c r="P23" s="197">
        <f t="shared" si="21"/>
        <v>51</v>
      </c>
      <c r="Q23" s="197">
        <f t="shared" si="21"/>
        <v>50</v>
      </c>
      <c r="R23" s="197">
        <f t="shared" si="21"/>
        <v>69</v>
      </c>
      <c r="S23" s="197">
        <f t="shared" si="21"/>
        <v>649</v>
      </c>
      <c r="T23" s="197">
        <f t="shared" si="21"/>
        <v>1806</v>
      </c>
      <c r="U23" s="197">
        <f t="shared" si="21"/>
        <v>1903</v>
      </c>
      <c r="V23" s="197">
        <f t="shared" si="21"/>
        <v>588</v>
      </c>
      <c r="W23" s="197">
        <f t="shared" si="21"/>
        <v>332</v>
      </c>
      <c r="X23" s="197">
        <f t="shared" si="21"/>
        <v>1020</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649</v>
      </c>
      <c r="AZ23" s="197">
        <f>SUBTOTAL(9,AZ15:AZ22)</f>
        <v>1806</v>
      </c>
      <c r="BA23" s="197">
        <f>SUBTOTAL(9,BA15:BA22)</f>
        <v>1903</v>
      </c>
      <c r="BB23" s="197">
        <f>SUBTOTAL(9,BB15:BB22)</f>
        <v>588</v>
      </c>
      <c r="BC23" s="197">
        <f>SUBTOTAL(9,BC15:BC22)</f>
        <v>332</v>
      </c>
      <c r="BD23" s="219">
        <f>IF(ISNUMBER(BA23/AZ23),BA23/AZ23," - ")</f>
        <v>1.0537098560354374</v>
      </c>
      <c r="BE23" s="220">
        <f>IF(ISNUMBER(BB23/BA23),BB23/BA23, " - ")</f>
        <v>0.30898581187598528</v>
      </c>
      <c r="BF23" s="220">
        <f>IF(ISNUMBER(BC23/BA23),BC23/BA23, " - ")</f>
        <v>0.1744613767735155</v>
      </c>
      <c r="BG23" s="221">
        <f>IF(ISNUMBER((AY23+AZ23)/BA23),(AY23+AZ23)/BA23," - ")</f>
        <v>1.2900683131897004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1979</v>
      </c>
      <c r="J31" s="144">
        <f t="shared" si="36"/>
        <v>3953</v>
      </c>
      <c r="K31" s="144">
        <f t="shared" si="36"/>
        <v>3825</v>
      </c>
      <c r="L31" s="144">
        <f t="shared" si="36"/>
        <v>2095</v>
      </c>
      <c r="M31" s="144">
        <f t="shared" si="36"/>
        <v>958</v>
      </c>
      <c r="N31" s="144">
        <f t="shared" si="36"/>
        <v>1763</v>
      </c>
      <c r="O31" s="144">
        <f t="shared" si="36"/>
        <v>1084</v>
      </c>
      <c r="P31" s="144">
        <f t="shared" si="36"/>
        <v>573</v>
      </c>
      <c r="Q31" s="144">
        <f t="shared" si="36"/>
        <v>621</v>
      </c>
      <c r="R31" s="144">
        <f t="shared" si="36"/>
        <v>1534</v>
      </c>
      <c r="S31" s="144">
        <f t="shared" si="36"/>
        <v>2350</v>
      </c>
      <c r="T31" s="144">
        <f t="shared" si="36"/>
        <v>3657</v>
      </c>
      <c r="U31" s="144">
        <f t="shared" si="36"/>
        <v>4062</v>
      </c>
      <c r="V31" s="144">
        <f t="shared" si="36"/>
        <v>1979</v>
      </c>
      <c r="W31" s="144">
        <f t="shared" si="36"/>
        <v>945</v>
      </c>
      <c r="X31" s="144">
        <f t="shared" si="36"/>
        <v>1788</v>
      </c>
      <c r="Y31" s="144">
        <f t="shared" si="36"/>
        <v>26</v>
      </c>
      <c r="Z31" s="144">
        <f t="shared" si="36"/>
        <v>250</v>
      </c>
      <c r="AA31" s="144">
        <f t="shared" si="36"/>
        <v>238</v>
      </c>
      <c r="AB31" s="144">
        <f t="shared" si="36"/>
        <v>38</v>
      </c>
      <c r="AC31" s="144">
        <f t="shared" si="36"/>
        <v>0</v>
      </c>
      <c r="AD31" s="144">
        <f t="shared" si="36"/>
        <v>6</v>
      </c>
      <c r="AE31" s="144">
        <f t="shared" si="36"/>
        <v>6</v>
      </c>
      <c r="AF31" s="144">
        <f t="shared" si="36"/>
        <v>0</v>
      </c>
      <c r="AG31" s="144">
        <f t="shared" si="36"/>
        <v>51</v>
      </c>
      <c r="AH31" s="144">
        <f t="shared" si="36"/>
        <v>285</v>
      </c>
      <c r="AI31" s="144">
        <f t="shared" si="36"/>
        <v>310</v>
      </c>
      <c r="AJ31" s="144">
        <f t="shared" si="36"/>
        <v>26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2401</v>
      </c>
      <c r="AZ31" s="144">
        <f>SUBTOTAL(9,AZ9:AZ30)</f>
        <v>3942</v>
      </c>
      <c r="BA31" s="144">
        <f>SUBTOTAL(9,BA9:BA30)</f>
        <v>4372</v>
      </c>
      <c r="BB31" s="144">
        <f>SUBTOTAL(9,BB9:BB30)</f>
        <v>2005</v>
      </c>
      <c r="BC31" s="145">
        <f>SUBTOTAL(9,BC9:BC30)</f>
        <v>1108</v>
      </c>
      <c r="BD31" s="227">
        <f>IF(ISNUMBER(BA31/AZ31),BA31/AZ31," - ")</f>
        <v>1.1090816844241502</v>
      </c>
      <c r="BE31" s="224">
        <f>IF(ISNUMBER(BB31/BA31),BB31/BA31, " - ")</f>
        <v>0.45860018298261668</v>
      </c>
      <c r="BF31" s="224">
        <f>IF(ISNUMBER(BC31/BA31),BC31/BA31, " - ")</f>
        <v>0.25343092406221407</v>
      </c>
      <c r="BG31" s="145">
        <f>IF(ISNUMBER((AY31+AZ31)/BA31),(AY31+AZ31)/BA31," - ")</f>
        <v>1.4508234217749314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JC/kSurARJAa59VY0Oqwb2XHqzaivxiaW7S4GXcpeuwnE99CGRu09DN4WY/+o5EKWI8nQ4glKtJHQigV2F5g==" saltValue="vV2gEv23b9WrZqVRPPYO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66BrzdKiLhG2WjDusEM8LF2vfXrygCB1vj2CqUQalmcctyXYxUbA0sWRExtAS95/TrJVQHOmKghZbJVAkt2OQ==" saltValue="o7lUaL/KB+5/k6CH9cD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O PORRIÑO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5</v>
      </c>
      <c r="AD10" s="549"/>
      <c r="AE10" s="563"/>
      <c r="AF10" s="551">
        <f>IF(ISNUMBER(Datos!L10),Datos!L10,"-")</f>
        <v>11</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9</v>
      </c>
      <c r="BE10" s="693" t="str">
        <f>IF(ISNUMBER(Datos!BW10),Datos!BW10," - ")</f>
        <v xml:space="preserve"> - </v>
      </c>
      <c r="BF10" s="762" t="str">
        <f>IF(ISNUMBER(Datos!BX10),Datos!BX10," - ")</f>
        <v xml:space="preserve"> - </v>
      </c>
      <c r="BG10" s="763">
        <f>IF(ISNUMBER(Datos!K10/Datos!J10),Datos!K10/Datos!J10," - ")</f>
        <v>0.95833333333333337</v>
      </c>
      <c r="BH10" s="764">
        <f>IF(ISNUMBER(((Datos!L10/Datos!K10)*11)/factor_trimestre),((Datos!L10/Datos!K10)*11)/factor_trimestre," - ")</f>
        <v>5.2608695652173916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250</v>
      </c>
      <c r="O12" s="549"/>
      <c r="P12" s="549"/>
      <c r="Q12" s="547">
        <f>IF(ISNUMBER(Datos!P12),Datos!P12,0)</f>
        <v>515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1459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633</v>
      </c>
      <c r="BD12" s="693">
        <f>IF(ISNUMBER(Datos!N12),Datos!N12," - ")</f>
        <v>760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0.96270895842263182</v>
      </c>
      <c r="BH12" s="764">
        <f>IF(ISNUMBER(((IF(J_V="SI",Datos!L12/Datos!K12,(Datos!L12+Datos!AB12)/(Datos!K12+Datos!AA12)))*11)/factor_trimestre),((IF(J_V="SI",Datos!L12/Datos!K12,(Datos!L12+Datos!AB12)/(Datos!K12+Datos!AA12)))*11)/factor_trimestre," - ")</f>
        <v>7.3170080142475511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-3.3774834437086093E-2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250</v>
      </c>
      <c r="O14" s="1199">
        <f t="shared" si="1"/>
        <v>0</v>
      </c>
      <c r="P14" s="1199">
        <f t="shared" si="1"/>
        <v>0</v>
      </c>
      <c r="Q14" s="1198">
        <f t="shared" si="1"/>
        <v>522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571</v>
      </c>
      <c r="AD14" s="1198">
        <f t="shared" si="2"/>
        <v>0</v>
      </c>
      <c r="AE14" s="1198">
        <f t="shared" si="2"/>
        <v>0</v>
      </c>
      <c r="AF14" s="1198">
        <f t="shared" si="2"/>
        <v>11</v>
      </c>
      <c r="AG14" s="1198">
        <f t="shared" si="2"/>
        <v>0</v>
      </c>
      <c r="AH14" s="1198">
        <f t="shared" si="2"/>
        <v>38</v>
      </c>
      <c r="AI14" s="1198">
        <f t="shared" si="2"/>
        <v>0</v>
      </c>
      <c r="AJ14" s="1198">
        <f t="shared" si="2"/>
        <v>0</v>
      </c>
      <c r="AK14" s="1198">
        <f t="shared" si="2"/>
        <v>0</v>
      </c>
      <c r="AL14" s="1198">
        <f t="shared" si="2"/>
        <v>0</v>
      </c>
      <c r="AM14" s="1198">
        <f t="shared" si="2"/>
        <v>1465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643</v>
      </c>
      <c r="BD14" s="1198">
        <f t="shared" si="2"/>
        <v>769</v>
      </c>
      <c r="BE14" s="1198">
        <f t="shared" si="2"/>
        <v>0</v>
      </c>
      <c r="BF14" s="1198">
        <f t="shared" si="2"/>
        <v>0</v>
      </c>
      <c r="BG14" s="1198">
        <f>IF(ISNUMBER(Datos!K14/Datos!J14),Datos!K14/Datos!J14," - ")</f>
        <v>0.96392975794969149</v>
      </c>
      <c r="BH14" s="1202">
        <f>IF(ISNUMBER(((Datos!L14/Datos!K14)*11)/factor_trimestre),((Datos!L14/Datos!K14)*11)/factor_trimestre," - ")</f>
        <v>7.9453471196454952</v>
      </c>
      <c r="BI14" s="1198">
        <f>IF(ISNUMBER('Resol  Asuntos'!D14/NºAsuntos!G14),'Resol  Asuntos'!D14/NºAsuntos!G14," - ")</f>
        <v>0.28338475099162624</v>
      </c>
      <c r="BJ14" s="1198" t="str">
        <f>IF(ISNUMBER(Datos!CI14/Datos!CJ14),Datos!CI14/Datos!CJ14," - ")</f>
        <v xml:space="preserve"> - </v>
      </c>
      <c r="BK14" s="1198">
        <f>SUBTOTAL(9,BK8:BK13)</f>
        <v>0</v>
      </c>
      <c r="BL14" s="1198">
        <f>IF(ISNUMBER((I14-AB14+L14)/(F14)),(I14-AB14+L14)/(F14)," - ")</f>
        <v>-2.2999999999999998</v>
      </c>
      <c r="BM14" s="1203">
        <f>SUBTOTAL(9,BM9:BM13)</f>
        <v>0.46622516556291393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541</v>
      </c>
      <c r="G17" s="743">
        <f>IF(ISNUMBER(IF(D_I="SI",Datos!I17,Datos!I17+Datos!AC17)),IF(D_I="SI",Datos!I17,Datos!I17+Datos!AC17)," - ")</f>
        <v>553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1624</v>
      </c>
      <c r="AC17" s="240">
        <f>IF(ISNUMBER(Datos!Q17),Datos!Q17," - ")</f>
        <v>50</v>
      </c>
      <c r="AD17" s="374"/>
      <c r="AE17" s="562"/>
      <c r="AF17" s="741">
        <f>IF(ISNUMBER(IF(D_I="SI",Datos!L17,Datos!L17+Datos!AF17)),IF(D_I="SI",Datos!L17,Datos!L17+Datos!AF17)," - ")</f>
        <v>611</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300</v>
      </c>
      <c r="BD17" s="243">
        <f>IF(ISNUMBER(Datos!N17),Datos!N17," - ")</f>
        <v>883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0.95867768595041325</v>
      </c>
      <c r="BH17" s="764">
        <f>IF(ISNUMBER(((IF(D_I="SI",Datos!L17/Datos!K17,(Datos!L17+Datos!AF17)/(Datos!K17+Datos!AE17)))*11)/factor_trimestre),((IF(D_I="SI",Datos!L17/Datos!K17,(Datos!L17+Datos!AF17)/(Datos!K17+Datos!AE17)))*11)/factor_trimestre," - ")</f>
        <v>4.1385467980295569</v>
      </c>
      <c r="BI17" s="266">
        <f>IF(ISNUMBER('Resol  Asuntos'!D17/NºAsuntos!G17),'Resol  Asuntos'!D17/NºAsuntos!G17," - ")</f>
        <v>0.18472906403940886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170</v>
      </c>
      <c r="AC18" s="547">
        <f>IF(ISNUMBER(Datos!Q18),Datos!Q18," - ")</f>
        <v>0</v>
      </c>
      <c r="AD18" s="549"/>
      <c r="AE18" s="562"/>
      <c r="AF18" s="551">
        <f>IF(ISNUMBER(Datos!L18),Datos!L18,"-")</f>
        <v>17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1.118421052631579</v>
      </c>
      <c r="BH18" s="764">
        <f>IF(ISNUMBER(((IF(D_I="SI",Datos!L18/Datos!K18,(Datos!L18+Datos!AF18)/(Datos!K18+Datos!AE18)))*11)/factor_trimestre),((IF(D_I="SI",Datos!L18/Datos!K18,(Datos!L18+Datos!AF18)/(Datos!K18+Datos!AE18)))*11)/factor_trimestre," - ")</f>
        <v>1.1000000000000001</v>
      </c>
      <c r="BI18" s="763">
        <f>IF(ISNUMBER('Resol  Asuntos'!D18/NºAsuntos!G18),'Resol  Asuntos'!D18/NºAsuntos!G18," - ")</f>
        <v>8.8235294117647065E-2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541</v>
      </c>
      <c r="G23" s="1197">
        <f>SUBTOTAL(9,G16:G22)</f>
        <v>588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1794</v>
      </c>
      <c r="AC23" s="1198">
        <f t="shared" si="5"/>
        <v>50</v>
      </c>
      <c r="AD23" s="1198">
        <f t="shared" si="5"/>
        <v>0</v>
      </c>
      <c r="AE23" s="1198">
        <f t="shared" si="5"/>
        <v>0</v>
      </c>
      <c r="AF23" s="1198">
        <f t="shared" si="5"/>
        <v>628</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315</v>
      </c>
      <c r="BD23" s="1198">
        <f t="shared" si="5"/>
        <v>994</v>
      </c>
      <c r="BE23" s="1198">
        <f t="shared" si="5"/>
        <v>0</v>
      </c>
      <c r="BF23" s="1198">
        <f t="shared" si="5"/>
        <v>0</v>
      </c>
      <c r="BG23" s="1198">
        <f>IF(ISNUMBER(Datos!K23/Datos!J23),Datos!K23/Datos!J23," - ")</f>
        <v>0.971830985915493</v>
      </c>
      <c r="BH23" s="1202">
        <f>IF(ISNUMBER(((Datos!L23/Datos!K23)*11)/factor_trimestre),((Datos!L23/Datos!K23)*11)/factor_trimestre," - ")</f>
        <v>3.8506131549609814</v>
      </c>
      <c r="BI23" s="1198">
        <f>SUBTOTAL(9,BI16:BI22)</f>
        <v>0.27296435815705594</v>
      </c>
      <c r="BJ23" s="1198">
        <f>SUBTOTAL(9,BJ16:BJ22)</f>
        <v>0</v>
      </c>
      <c r="BK23" s="1198">
        <f>SUBTOTAL(9,BK16:BK22)</f>
        <v>0</v>
      </c>
      <c r="BL23" s="1198">
        <f>IF(ISNUMBER((I23-AB23+L23)/(F23)),(I23-AB23+L23)/(F23)," - ")</f>
        <v>-3.3160813308687613</v>
      </c>
      <c r="BM23" s="1205">
        <f>IF(ISNUMBER((Datos!P23-Datos!Q23)/(Datos!R23-Datos!P23+Datos!Q23)),(Datos!P23-Datos!Q23)/(Datos!R23-Datos!P23+Datos!Q23)," - ")</f>
        <v>1.4705882352941176E-2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551</v>
      </c>
      <c r="G31" s="1117">
        <f t="shared" si="18"/>
        <v>598</v>
      </c>
      <c r="H31" s="1119">
        <f t="shared" si="18"/>
        <v>0</v>
      </c>
      <c r="I31" s="1117">
        <f t="shared" si="18"/>
        <v>0</v>
      </c>
      <c r="J31" s="1119">
        <f t="shared" si="18"/>
        <v>0</v>
      </c>
      <c r="K31" s="1119">
        <f t="shared" si="18"/>
        <v>0</v>
      </c>
      <c r="L31" s="1180">
        <f t="shared" si="18"/>
        <v>0</v>
      </c>
      <c r="M31" s="1180">
        <f t="shared" si="18"/>
        <v>0</v>
      </c>
      <c r="N31" s="1180">
        <f t="shared" si="18"/>
        <v>250</v>
      </c>
      <c r="O31" s="1180">
        <f t="shared" si="18"/>
        <v>0</v>
      </c>
      <c r="P31" s="1180">
        <f t="shared" si="18"/>
        <v>0</v>
      </c>
      <c r="Q31" s="1119">
        <f t="shared" si="18"/>
        <v>573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1817</v>
      </c>
      <c r="AC31" s="1118">
        <f t="shared" si="19"/>
        <v>621</v>
      </c>
      <c r="AD31" s="1118">
        <f t="shared" si="19"/>
        <v>0</v>
      </c>
      <c r="AE31" s="1118">
        <f t="shared" si="19"/>
        <v>0</v>
      </c>
      <c r="AF31" s="1125">
        <f t="shared" si="19"/>
        <v>639</v>
      </c>
      <c r="AG31" s="1125">
        <f t="shared" si="19"/>
        <v>0</v>
      </c>
      <c r="AH31" s="1125">
        <f t="shared" si="19"/>
        <v>38</v>
      </c>
      <c r="AI31" s="1125">
        <f t="shared" si="19"/>
        <v>0</v>
      </c>
      <c r="AJ31" s="1118">
        <f t="shared" si="19"/>
        <v>0</v>
      </c>
      <c r="AK31" s="1125">
        <f t="shared" si="19"/>
        <v>0</v>
      </c>
      <c r="AL31" s="1125">
        <f t="shared" si="19"/>
        <v>0</v>
      </c>
      <c r="AM31" s="1125">
        <f t="shared" si="19"/>
        <v>1534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958</v>
      </c>
      <c r="BD31" s="1117">
        <f t="shared" si="19"/>
        <v>1763</v>
      </c>
      <c r="BE31" s="1117">
        <f t="shared" si="19"/>
        <v>0</v>
      </c>
      <c r="BF31" s="1127">
        <f t="shared" si="19"/>
        <v>0</v>
      </c>
      <c r="BG31" s="1223">
        <f>IF(ISNUMBER(Datos!K31/Datos!J31),Datos!K31/Datos!J31," - ")</f>
        <v>0.9676195294712876</v>
      </c>
      <c r="BH31" s="1223">
        <f>IF(ISNUMBER(((Datos!L31/Datos!K31)*11)/factor_trimestre),((Datos!L31/Datos!K31)*11)/factor_trimestre," - ")</f>
        <v>6.0248366013071903</v>
      </c>
      <c r="BI31" s="1103">
        <f>IF(ISNUMBER(Datos!J31/Datos!I31),Datos!J31/Datos!I31," - ")</f>
        <v>1.9974734714502274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-3.297640653357532</v>
      </c>
      <c r="BM31" s="1188">
        <f>IF(ISNUMBER((Datos!P31-Datos!Q31+R31)/(Datos!R31-Datos!P31+Datos!Q31-R31)),(Datos!P31-Datos!Q31+R31)/(Datos!R31-Datos!P31+Datos!Q31-R31)," - ")</f>
        <v>-3.0341340075853349E-2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276.82533602737067</v>
      </c>
      <c r="G33" s="674">
        <f>IF(ISNUMBER(STDEV(G8:G30)),STDEV(G8:G30),"-")</f>
        <v>273.44495398003392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816.41542296623891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278.97926190207858</v>
      </c>
      <c r="BD33" s="673"/>
      <c r="BE33" s="673">
        <f>IF(ISNUMBER(STDEV(BE8:BE30)),STDEV(BE8:BE30),"-")</f>
        <v>0</v>
      </c>
      <c r="BF33" s="678">
        <f>IF(ISNUMBER(STDEV(BF8:BF30)),STDEV(BF8:BF30),"-")</f>
        <v>0</v>
      </c>
      <c r="BG33" s="1052">
        <f>IF(ISNUMBER(STDEV(BG8:BG30)),STDEV(BG8:BG30),"-")</f>
        <v>6.3599065053346365E-2</v>
      </c>
      <c r="BH33" s="1058">
        <f>IF(ISNUMBER(STDEV(BH8:BH30)),STDEV(BH8:BH30),"-")</f>
        <v>2.5043881296274413</v>
      </c>
      <c r="BI33" s="273">
        <f>IF(ISNUMBER(STDEV(BI8:BI30)),STDEV(BI8:BI30),"-")</f>
        <v>9.089654445928598E-2</v>
      </c>
      <c r="BJ33" s="244" t="str">
        <f>IF(ISNUMBER(BL33/BM33),BL33/BM33," - ")</f>
        <v xml:space="preserve"> - </v>
      </c>
      <c r="BK33" s="709"/>
      <c r="BL33" s="681">
        <f>IF(ISNUMBER(STDEV(BL8:BL30)),STDEV(BL8:BL30),"-")</f>
        <v>0.71847799929435352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PuiHDnfCPs1gtF1tS6a9PzmBG1GTbJFsQ8Nk4nyHf/mUkcEM+MnVMP31tgPYLV3u0gaTo3jdofF9cBSZAtHdw==" saltValue="cvWmkAMB557TR+/CDqLk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O PORRIÑO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5</v>
      </c>
      <c r="AA10" s="551">
        <f>IF(ISNUMBER(Datos!L10),Datos!L10,"-")</f>
        <v>11</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10</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5.2608695652173916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566</v>
      </c>
      <c r="AA12" s="551" t="str">
        <f>IF(ISNUMBER(IF(J_V="SI",Datos!L12,Datos!L12+Datos!AB12)-IF(Monitorios="SI",Datos!CD12,0)),
                          IF(J_V="SI",Datos!L12,Datos!L12+Datos!AB12)-IF(Monitorios="SI",Datos!CD12,0),
                          " - ")</f>
        <v xml:space="preserve"> - </v>
      </c>
      <c r="AB12" s="549"/>
      <c r="AC12" s="549"/>
      <c r="AD12" s="563"/>
      <c r="AE12" s="563">
        <f>IF(ISNUMBER(Datos!R12),Datos!R12," - ")</f>
        <v>1459</v>
      </c>
      <c r="AF12" s="693" t="str">
        <f>IF(ISNUMBER(Datos!BV12),Datos!BV12," - ")</f>
        <v xml:space="preserve"> - </v>
      </c>
      <c r="AG12" s="552" t="str">
        <f>IF(ISNUMBER(Datos!DV12),Datos!DV12," - ")</f>
        <v xml:space="preserve"> - </v>
      </c>
      <c r="AH12" s="553"/>
      <c r="AI12" s="554"/>
      <c r="AJ12" s="552">
        <f>IF(ISNUMBER(Datos!M12),Datos!M12," - ")</f>
        <v>633</v>
      </c>
      <c r="AK12" s="693">
        <f>IF(ISNUMBER(Datos!N12),Datos!N12," - ")</f>
        <v>760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7.3170080142475511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-3.3774834437086093E-2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522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571</v>
      </c>
      <c r="AA14" s="1199">
        <f t="shared" si="3"/>
        <v>11</v>
      </c>
      <c r="AB14" s="1199">
        <f t="shared" si="3"/>
        <v>0</v>
      </c>
      <c r="AC14" s="1199">
        <f t="shared" si="3"/>
        <v>0</v>
      </c>
      <c r="AD14" s="1199">
        <f t="shared" si="3"/>
        <v>0</v>
      </c>
      <c r="AE14" s="1199">
        <f t="shared" si="3"/>
        <v>1465</v>
      </c>
      <c r="AF14" s="1211">
        <f t="shared" si="3"/>
        <v>0</v>
      </c>
      <c r="AG14" s="1211">
        <f t="shared" si="3"/>
        <v>0</v>
      </c>
      <c r="AH14" s="1211">
        <f t="shared" si="3"/>
        <v>0</v>
      </c>
      <c r="AI14" s="1211">
        <f t="shared" si="3"/>
        <v>0</v>
      </c>
      <c r="AJ14" s="1211">
        <f t="shared" si="3"/>
        <v>643</v>
      </c>
      <c r="AK14" s="1211">
        <f t="shared" si="3"/>
        <v>769</v>
      </c>
      <c r="AL14" s="1211">
        <f t="shared" si="3"/>
        <v>0</v>
      </c>
      <c r="AM14" s="1211">
        <f t="shared" si="3"/>
        <v>0</v>
      </c>
      <c r="AN14" s="1211">
        <f t="shared" si="3"/>
        <v>0</v>
      </c>
      <c r="AO14" s="1203">
        <f>IF(ISNUMBER(((NºAsuntos!I14/NºAsuntos!G14)*11)/factor_trimestre),((NºAsuntos!I14/NºAsuntos!G14)*11)/factor_trimestre," - ")</f>
        <v>7.2961657117672987</v>
      </c>
      <c r="AP14" s="1213" t="str">
        <f>IF(ISNUMBER(Datos!CI14/Datos!CJ14),Datos!CI14/Datos!CJ14," - ")</f>
        <v xml:space="preserve"> - </v>
      </c>
      <c r="AQ14" s="1236">
        <f t="shared" ref="AQ14:AV14" si="4">SUBTOTAL(9,AQ9:AQ13)</f>
        <v>0</v>
      </c>
      <c r="AR14" s="1236">
        <f t="shared" si="4"/>
        <v>0.46622516556291393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541</v>
      </c>
      <c r="G17" s="552">
        <f>IF(ISNUMBER(IF(D_I="SI",Datos!I17,Datos!I17+Datos!AC17)),IF(D_I="SI",Datos!I17,Datos!I17+Datos!AC17)," - ")</f>
        <v>553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1624</v>
      </c>
      <c r="Z17" s="805">
        <f>IF(ISNUMBER(Datos!Q17),Datos!Q17," - ")</f>
        <v>50</v>
      </c>
      <c r="AA17" s="551">
        <f>IF(ISNUMBER(IF(D_I="SI",Datos!L17,Datos!L17+Datos!AF17)),IF(D_I="SI",Datos!L17,Datos!L17+Datos!AF17)," - ")</f>
        <v>611</v>
      </c>
      <c r="AB17" s="549"/>
      <c r="AC17" s="549"/>
      <c r="AD17" s="563"/>
      <c r="AE17" s="563">
        <f>IF(ISNUMBER(Datos!R17),Datos!R17," - ")</f>
        <v>68</v>
      </c>
      <c r="AF17" s="693" t="str">
        <f>IF(ISNUMBER(Datos!BV17),Datos!BV17," - ")</f>
        <v xml:space="preserve"> - </v>
      </c>
      <c r="AG17" s="552"/>
      <c r="AH17" s="553"/>
      <c r="AI17" s="554"/>
      <c r="AJ17" s="552">
        <f>IF(ISNUMBER(Datos!M17),Datos!M17," - ")</f>
        <v>300</v>
      </c>
      <c r="AK17" s="693">
        <f>IF(ISNUMBER(Datos!N17),Datos!N17," - ")</f>
        <v>883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4.1385467980295569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170</v>
      </c>
      <c r="Z18" s="805">
        <f>IF(ISNUMBER(Datos!Q18),Datos!Q18," - ")</f>
        <v>0</v>
      </c>
      <c r="AA18" s="551">
        <f>IF(ISNUMBER(Datos!L18),Datos!L18,"-")</f>
        <v>17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15</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541</v>
      </c>
      <c r="G23" s="1197">
        <f>SUBTOTAL(9,G16:G22)</f>
        <v>588</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1794</v>
      </c>
      <c r="Z23" s="1240">
        <f t="shared" si="6"/>
        <v>50</v>
      </c>
      <c r="AA23" s="1240">
        <f t="shared" si="6"/>
        <v>628</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315</v>
      </c>
      <c r="AK23" s="1240">
        <f t="shared" si="6"/>
        <v>994</v>
      </c>
      <c r="AL23" s="1240">
        <f t="shared" si="6"/>
        <v>0</v>
      </c>
      <c r="AM23" s="1240">
        <f t="shared" si="6"/>
        <v>0</v>
      </c>
      <c r="AN23" s="1240">
        <f t="shared" si="6"/>
        <v>0</v>
      </c>
      <c r="AO23" s="1242">
        <f>IF(ISNUMBER(((NºAsuntos!I23/NºAsuntos!G23)*11)/factor_trimestre),((NºAsuntos!I23/NºAsuntos!G23)*11)/factor_trimestre," - ")</f>
        <v>3.8506131549609814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551</v>
      </c>
      <c r="G31" s="1117">
        <f t="shared" si="12"/>
        <v>598</v>
      </c>
      <c r="H31" s="1118">
        <f t="shared" si="12"/>
        <v>0</v>
      </c>
      <c r="I31" s="1117">
        <f t="shared" si="12"/>
        <v>0</v>
      </c>
      <c r="J31" s="1119">
        <f t="shared" si="12"/>
        <v>0</v>
      </c>
      <c r="K31" s="1117">
        <f t="shared" si="12"/>
        <v>0</v>
      </c>
      <c r="L31" s="1120">
        <f t="shared" si="12"/>
        <v>0</v>
      </c>
      <c r="M31" s="1117">
        <f t="shared" si="12"/>
        <v>0</v>
      </c>
      <c r="N31" s="1118">
        <f t="shared" si="12"/>
        <v>573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1817</v>
      </c>
      <c r="Z31" s="1124">
        <f t="shared" si="13"/>
        <v>621</v>
      </c>
      <c r="AA31" s="1125">
        <f t="shared" si="13"/>
        <v>639</v>
      </c>
      <c r="AB31" s="1125">
        <f t="shared" si="13"/>
        <v>0</v>
      </c>
      <c r="AC31" s="1125">
        <f t="shared" si="13"/>
        <v>0</v>
      </c>
      <c r="AD31" s="1126">
        <f t="shared" si="13"/>
        <v>0</v>
      </c>
      <c r="AE31" s="1126">
        <f t="shared" si="13"/>
        <v>1534</v>
      </c>
      <c r="AF31" s="1127">
        <f t="shared" si="13"/>
        <v>0</v>
      </c>
      <c r="AG31" s="1128">
        <f t="shared" si="13"/>
        <v>0</v>
      </c>
      <c r="AH31" s="1129">
        <f t="shared" si="13"/>
        <v>0</v>
      </c>
      <c r="AI31" s="1127">
        <f t="shared" si="13"/>
        <v>0</v>
      </c>
      <c r="AJ31" s="1117">
        <f t="shared" si="13"/>
        <v>958</v>
      </c>
      <c r="AK31" s="1117">
        <f t="shared" si="13"/>
        <v>1763</v>
      </c>
      <c r="AL31" s="1117">
        <f t="shared" si="13"/>
        <v>0</v>
      </c>
      <c r="AM31" s="1130">
        <f t="shared" si="13"/>
        <v>0</v>
      </c>
      <c r="AN31" s="1120">
        <f>IF(ISNUMBER(Datos!K31/Datos!J31),Datos!K31/Datos!J31," - ")</f>
        <v>0.9676195294712876</v>
      </c>
      <c r="AO31" s="1120">
        <f>IF(ISNUMBER(FIND("06",Criterios!A8,1)),(IF(ISNUMBER(((Datos!R31/Datos!Q31)*11)/factor_trimestre),((Datos!R31/Datos!Q31)*11)/factor_trimestre," - ")),(IF(ISNUMBER(((Datos!L31/Datos!K31)*11)/factor_trimestre),((Datos!L31/Datos!K31)*11)/factor_trimestre," - ")))</f>
        <v>6.0248366013071903</v>
      </c>
      <c r="AP31" s="1131" t="str">
        <f>IF(ISNUMBER(Datos!CI31/Datos!CJ31),Datos!CI31/Datos!CJ31," - ")</f>
        <v xml:space="preserve"> - </v>
      </c>
      <c r="AQ31" s="1131">
        <f>IF(OR(ISNUMBER(FIND("01",Criterios!A8,1)),ISNUMBER(FIND("02",Criterios!A8,1)),ISNUMBER(FIND("03",Criterios!A8,1)),ISNUMBER(FIND("04",Criterios!A8,1))),(J31-Y31+K31)/(F31-K31),(I31-Y31+K31)/(F31-K31))</f>
        <v>-3.297640653357532</v>
      </c>
      <c r="AR31" s="1131">
        <f>IF(ISNUMBER((Datos!P31-Datos!Q31+O31)/(Datos!R31-Datos!P31+Datos!Q31-O31)),(Datos!P31-Datos!Q31+O31)/(Datos!R31-Datos!P31+Datos!Q31-O31)," - ")</f>
        <v>-3.0341340075853349E-2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276.82533602737067</v>
      </c>
      <c r="G33" s="674">
        <f>IF(ISNUMBER(STDEV(G8:G30)),STDEV(G8:G30),"-")</f>
        <v>273.44495398003392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278.97926190207858</v>
      </c>
      <c r="AK33" s="276"/>
      <c r="AL33" s="276">
        <f>IF(ISNUMBER(STDEV(AL8:AL30)),STDEV(AL8:AL30),"-")</f>
        <v>0</v>
      </c>
      <c r="AM33" s="278">
        <f>IF(ISNUMBER(STDEV(AM8:AM30)),STDEV(AM8:AM30),"-")</f>
        <v>0</v>
      </c>
      <c r="AN33" s="660">
        <f>IF(ISNUMBER(STDEV(AN8:AN30)),STDEV(AN8:AN30),"-")</f>
        <v>0</v>
      </c>
      <c r="AO33" s="661">
        <f>IF(ISNUMBER(STDEV(AO8:AO30)),STDEV(AO8:AO30),"-")</f>
        <v>2.3580920195774984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xMnWC8FA0tbv0jHbQzjFgKhMPN0sXESiFiEn4ucidf4aylnZZ+xSaWuFqRSum9oMRHM+mFH9z1c3cqPILUd7w==" saltValue="XnMe6FjCWHOCUZ4E0dne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HwgbHddxKwICCBLsGF2TTHXW4kUgf7L18kh4yisCFnZXR8F83XUpngJjpVSNkTm7qBOUTa8fD4/6SpRBbF6OA==" saltValue="gMTKS3tfhCrjp8NAdWl8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9Wxh5Z/xlM9Qe+yU8d3LBJYpdc/dvPo+xoC1P25RgBR9q5o94TKyIBYNSdFDrONMXbDQNsU/Lr/iB2gDU729Q==" saltValue="5i5WekZ/FhhfAFb0HbBy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O PORRIÑO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0.28338475099162624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0.20038327911104012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nT0UoG5cRh8fWxPtApkfiLY6/FuVNMErioF5nwNsDfUcXP5LsM9BjZbyMXzbiRoJsZhXYGEFDsROyHYUfA+CA==" saltValue="EQv0vL/mi2PW8lsu/XVQ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4W4V1AHH6g/7/Q5zvDn/b52+QgaAQlYgdb2NvRETCP2vGAPJYwp8cj4qvV1IMVuI2K06Hv7J6VRMPq03iRnEbg==" saltValue="8OHPFO7FqQlH9OIfXxdc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O PORRIÑO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24</v>
      </c>
      <c r="F10" s="452">
        <f>IF(ISNUMBER(E10/B10),E10/B10," - ")</f>
        <v>24</v>
      </c>
      <c r="G10" s="451">
        <f>IF(ISNUMBER(Datos!K10),Datos!K10," - ")</f>
        <v>23</v>
      </c>
      <c r="H10" s="452">
        <f>IF(ISNUMBER(G10/B10),G10/B10," - ")</f>
        <v>23</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1407</v>
      </c>
      <c r="D12" s="452">
        <f>IF(ISNUMBER(C12/Datos!BH12),C12/Datos!BH12," - ")</f>
        <v>469</v>
      </c>
      <c r="E12" s="451">
        <f>IF(ISNUMBER(IF(J_V="SI",Datos!J12,Datos!J12+Datos!Z12)),IF(J_V="SI",Datos!J12,Datos!J12+Datos!Z12)," - ")</f>
        <v>2333</v>
      </c>
      <c r="F12" s="452">
        <f>IF(ISNUMBER(E12/B12),E12/B12," - ")</f>
        <v>777.66666666666663</v>
      </c>
      <c r="G12" s="451">
        <f>IF(ISNUMBER(IF(J_V="SI",Datos!K12,Datos!K12+Datos!AA12)),IF(J_V="SI",Datos!K12,Datos!K12+Datos!AA12)," - ")</f>
        <v>2246</v>
      </c>
      <c r="H12" s="452">
        <f>IF(ISNUMBER(G12/B12),G12/B12," - ")</f>
        <v>748.66666666666663</v>
      </c>
      <c r="I12" s="451">
        <f>IF(ISNUMBER(IF(J_V="SI",Datos!L12,Datos!L12+Datos!AB12)),IF(J_V="SI",Datos!L12,Datos!L12+Datos!AB12)," - ")</f>
        <v>1494</v>
      </c>
      <c r="J12" s="452">
        <f>IF(ISNUMBER(I12/B12),I12/B12," - ")</f>
        <v>498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1417</v>
      </c>
      <c r="D14" s="1147" t="str">
        <f>IF(ISNUMBER(C14/Datos!BI14),C14/Datos!BI14," - ")</f>
        <v xml:space="preserve"> - </v>
      </c>
      <c r="E14" s="1146">
        <f>SUBTOTAL(9,E8:E13)</f>
        <v>2357</v>
      </c>
      <c r="F14" s="1147">
        <f>IF(ISNUMBER(E14/B14),E14/B14," - ")</f>
        <v>785.66666666666663</v>
      </c>
      <c r="G14" s="1146">
        <f>SUBTOTAL(9,G8:G13)</f>
        <v>2269</v>
      </c>
      <c r="H14" s="1147">
        <f>IF(ISNUMBER(G14/B14),G14/B14," - ")</f>
        <v>756.33333333333337</v>
      </c>
      <c r="I14" s="1146">
        <f>SUBTOTAL(9,I8:I13)</f>
        <v>1505</v>
      </c>
      <c r="J14" s="1147">
        <f>IF(ISNUMBER(I14/B14),I14/B14," - ")</f>
        <v>501.66666666666669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553</v>
      </c>
      <c r="D17" s="452">
        <f>IF(ISNUMBER(C17/Datos!BH17),C17/Datos!BH17," - ")</f>
        <v>184.33333333333334</v>
      </c>
      <c r="E17" s="451">
        <f>IF(ISNUMBER(IF(D_I="SI",Datos!J17,Datos!J17+Datos!AD17)),IF(D_I="SI",Datos!J17,Datos!J17+Datos!AD17)," - ")</f>
        <v>1694</v>
      </c>
      <c r="F17" s="452">
        <f>IF(ISNUMBER(E17/B17),E17/B17," - ")</f>
        <v>564.66666666666663</v>
      </c>
      <c r="G17" s="451">
        <f>IF(ISNUMBER(IF(D_I="SI",Datos!K17,Datos!K17+Datos!AE17)),IF(D_I="SI",Datos!K17,Datos!K17+Datos!AE17)," - ")</f>
        <v>1624</v>
      </c>
      <c r="H17" s="452">
        <f>IF(ISNUMBER(G17/B17),G17/B17," - ")</f>
        <v>541.33333333333337</v>
      </c>
      <c r="I17" s="451">
        <f>IF(ISNUMBER(IF(D_I="SI",Datos!L17,Datos!L17+Datos!AF17)),IF(D_I="SI",Datos!L17,Datos!L17+Datos!AF17)," - ")</f>
        <v>611</v>
      </c>
      <c r="J17" s="452">
        <f>IF(ISNUMBER(I17/B17),I17/B17," - ")</f>
        <v>203.66666666666666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152</v>
      </c>
      <c r="F18" s="452">
        <f>IF(ISNUMBER(E18/B18),E18/B18," - ")</f>
        <v>152</v>
      </c>
      <c r="G18" s="451">
        <f>IF(ISNUMBER(IF(D_I="SI",Datos!K18,Datos!K18+Datos!AE18)),IF(D_I="SI",Datos!K18,Datos!K18+Datos!AE18)," - ")</f>
        <v>170</v>
      </c>
      <c r="H18" s="452">
        <f>IF(ISNUMBER(G18/B18),G18/B18," - ")</f>
        <v>170</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588</v>
      </c>
      <c r="D23" s="1147" t="str">
        <f>IF(ISNUMBER(C23/Datos!BI23),C23/Datos!BI23," - ")</f>
        <v xml:space="preserve"> - </v>
      </c>
      <c r="E23" s="1146">
        <f>SUBTOTAL(9,E15:E22)</f>
        <v>1846</v>
      </c>
      <c r="F23" s="1147">
        <f>IF(ISNUMBER(E23/B23),E23/B23," - ")</f>
        <v>615.33333333333337</v>
      </c>
      <c r="G23" s="1146">
        <f>SUBTOTAL(9,G15:G22)</f>
        <v>1794</v>
      </c>
      <c r="H23" s="1147">
        <f>IF(ISNUMBER(G23/B23),G23/B23," - ")</f>
        <v>598</v>
      </c>
      <c r="I23" s="1146">
        <f>SUBTOTAL(9,I15:I22)</f>
        <v>628</v>
      </c>
      <c r="J23" s="1147">
        <f>IF(ISNUMBER(I23/B23),I23/B23," - ")</f>
        <v>209.33333333333334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2005</v>
      </c>
      <c r="D31" s="1085" t="str">
        <f>IF(ISNUMBER(C31/Datos!BI31),C31/Datos!BI31," - ")</f>
        <v xml:space="preserve"> - </v>
      </c>
      <c r="E31" s="1084">
        <f>SUBTOTAL(9,E9:E30)</f>
        <v>4203</v>
      </c>
      <c r="F31" s="1085">
        <f>IF(ISNUMBER(E31/B31),E31/B31," - ")</f>
        <v>1401</v>
      </c>
      <c r="G31" s="1084">
        <f>SUBTOTAL(9,G9:G30)</f>
        <v>4063</v>
      </c>
      <c r="H31" s="1085">
        <f>IF(ISNUMBER(G31/B31),G31/B31," - ")</f>
        <v>1354.3333333333333</v>
      </c>
      <c r="I31" s="1084">
        <f>SUBTOTAL(9,I9:I30)</f>
        <v>2133</v>
      </c>
      <c r="J31" s="1085">
        <f>IF(ISNUMBER(I31/B31),I31/B31," - ")</f>
        <v>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QW4JXPhCh9w1fXSbH7sdL99z8RDLpTjUpi7d6x6U40jh+dDOWS/WojUQY6rydTr9LSSqFDD8BIgj6K2uL3pdsg==" saltValue="ngDHmEQ3FArDMyD98mB0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O PORRIÑO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5.2608695652173916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633</v>
      </c>
      <c r="AM12" s="914">
        <f>IF(ISNUMBER(Datos!N12+DatosP!N17),Datos!N12+DatosP!N17," - ")</f>
        <v>760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7.3170080142475511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-3.3774834437086093E-2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522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566</v>
      </c>
      <c r="AE14" s="1257">
        <f t="shared" si="1"/>
        <v>0</v>
      </c>
      <c r="AF14" s="1257">
        <f t="shared" si="1"/>
        <v>11</v>
      </c>
      <c r="AG14" s="1257">
        <f t="shared" si="1"/>
        <v>0</v>
      </c>
      <c r="AH14" s="1257">
        <f t="shared" si="1"/>
        <v>1459</v>
      </c>
      <c r="AI14" s="1257">
        <f t="shared" si="1"/>
        <v>0</v>
      </c>
      <c r="AJ14" s="1257">
        <f t="shared" si="1"/>
        <v>0</v>
      </c>
      <c r="AK14" s="1257">
        <f t="shared" si="1"/>
        <v>0</v>
      </c>
      <c r="AL14" s="1257">
        <f t="shared" si="1"/>
        <v>643</v>
      </c>
      <c r="AM14" s="1257">
        <f t="shared" si="1"/>
        <v>769</v>
      </c>
      <c r="AN14" s="1257">
        <f t="shared" si="1"/>
        <v>0</v>
      </c>
      <c r="AO14" s="1257">
        <f t="shared" si="1"/>
        <v>0</v>
      </c>
      <c r="AP14" s="1262">
        <f>IF(ISNUMBER(((Datos!L14/Datos!K14)*11)/factor_trimestre),((Datos!L14/Datos!K14)*11)/factor_trimestre," - ")</f>
        <v>7.9453471196454952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-2.2999999999999998</v>
      </c>
      <c r="AU14" s="1257" t="str">
        <f>IF(ISNUMBER((DatosP!#REF!-DatosP!#REF!+DatosP!#REF!)/(DatosP!#REF!+DatosP!#REF!-DatosP!#REF!-DatosP!#REF!)),(DatosP!#REF!-DatosP!#REF!+DatosP!#REF!)/(DatosP!#REF!+DatosP!#REF!-DatosP!#REF!-DatosP!#REF!)," - ")</f>
        <v xml:space="preserve"> - </v>
      </c>
      <c r="AV14" s="1263">
        <f>SUBTOTAL(9,AV9:AV13)</f>
        <v>-3.3774834437086093E-2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3.8506131549609814</v>
      </c>
      <c r="AQ23" s="1262">
        <f>IF(ISNUMBER(((Datos!M23/Datos!L23)*11)/factor_trimestre),((Datos!M23/Datos!L23)*11)/factor_trimestre," - ")</f>
        <v>5.5175159235668794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1.4705882352941176E-2</v>
      </c>
      <c r="AW23" s="1265">
        <f>IF(ISNUMBER((Datos!Q23-Datos!R23)/(Datos!S23-Datos!Q23+Datos!R23)),(Datos!Q23-Datos!R23)/(Datos!S23-Datos!Q23+Datos!R23)," - ")</f>
        <v>-2.8443113772455089E-2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522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566</v>
      </c>
      <c r="AE31" s="1284">
        <f t="shared" si="9"/>
        <v>0</v>
      </c>
      <c r="AF31" s="1285">
        <f t="shared" si="9"/>
        <v>11</v>
      </c>
      <c r="AG31" s="1285">
        <f t="shared" si="9"/>
        <v>0</v>
      </c>
      <c r="AH31" s="1285">
        <f t="shared" si="9"/>
        <v>1459</v>
      </c>
      <c r="AI31" s="1285">
        <f t="shared" si="9"/>
        <v>0</v>
      </c>
      <c r="AJ31" s="1286">
        <f t="shared" si="9"/>
        <v>0</v>
      </c>
      <c r="AK31" s="1286">
        <f t="shared" si="9"/>
        <v>0</v>
      </c>
      <c r="AL31" s="1278">
        <f t="shared" si="9"/>
        <v>643</v>
      </c>
      <c r="AM31" s="1278">
        <f t="shared" si="9"/>
        <v>769</v>
      </c>
      <c r="AN31" s="1278">
        <f t="shared" si="9"/>
        <v>0</v>
      </c>
      <c r="AO31" s="1278">
        <f t="shared" si="9"/>
        <v>0</v>
      </c>
      <c r="AP31" s="1278">
        <f>IF(ISNUMBER(((Datos!L31/Datos!K31)*11)/factor_trimestre),((Datos!L31/Datos!K31)*11)/factor_trimestre," - ")</f>
        <v>6.0248366013071903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-2.2999999999999998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-3.0341340075853349E-2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328.2088765811593</v>
      </c>
      <c r="AM33" s="1006"/>
      <c r="AN33" s="1006">
        <f>IF(ISNUMBER(STDEV(AN8:AN30)),STDEV(AN8:AN30),"-")</f>
        <v>0</v>
      </c>
      <c r="AO33" s="1012">
        <f>IF(ISNUMBER(STDEV(AO8:AO30)),STDEV(AO8:AO30),"-")</f>
        <v>0</v>
      </c>
      <c r="AP33" s="1065">
        <f>IF(ISNUMBER(STDEV(AP8:AP30)),STDEV(AP8:AP30),"-")</f>
        <v>1.8841553765962678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l4Xb6vpX8/oUa4gz56V6L3o+/Njj+USMnYsiR3PsgzxsBDqkWTYBybfXLxFDGNdwLzTsyyIcQbedxsPcmWC4Q==" saltValue="ZfHBC1U3y3Ngy2An6fGw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O PORRIÑO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SHebDjcXxCDoXIpMIkD4wv2wsIe5pgMqX5mD6sdm+dulifZNWxaTkbCttlRyEvxlq50qd5AAMVPAYPov/zwBQ==" saltValue="4wop62u4IZrzyak6uqV2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O PORRIÑO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9</v>
      </c>
      <c r="G10" s="452">
        <f>IF(ISNUMBER(F10/B10),F10/B10," - ")</f>
        <v>9</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633</v>
      </c>
      <c r="E12" s="452">
        <f t="shared" si="0"/>
        <v>211</v>
      </c>
      <c r="F12" s="451">
        <f>IF(ISNUMBER(Datos!N12),Datos!N12," - ")</f>
        <v>760</v>
      </c>
      <c r="G12" s="452">
        <f t="shared" si="1"/>
        <v>253.33333333333334</v>
      </c>
      <c r="H12" s="451">
        <f>IF(ISNUMBER(Datos!O12),Datos!O12," - ")</f>
        <v>1042</v>
      </c>
      <c r="I12" s="452">
        <f t="shared" si="2"/>
        <v>347.33333333333331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643</v>
      </c>
      <c r="E14" s="1147">
        <f t="shared" si="0"/>
        <v>160.75</v>
      </c>
      <c r="F14" s="1146">
        <f>SUBTOTAL(9,F9:F13)</f>
        <v>769</v>
      </c>
      <c r="G14" s="1147">
        <f t="shared" si="1"/>
        <v>192.25</v>
      </c>
      <c r="H14" s="1146">
        <f>SUBTOTAL(9,H9:H13)</f>
        <v>1050</v>
      </c>
      <c r="I14" s="1147">
        <f>IF(ISNUMBER(H14/B14),H14/B14," - ")</f>
        <v>262.5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300</v>
      </c>
      <c r="E17" s="452">
        <f t="shared" si="3"/>
        <v>100</v>
      </c>
      <c r="F17" s="451">
        <f>IF(ISNUMBER(Datos!N17),Datos!N17," - ")</f>
        <v>883</v>
      </c>
      <c r="G17" s="452">
        <f t="shared" si="4"/>
        <v>294.33333333333331</v>
      </c>
      <c r="H17" s="451">
        <f>IF(ISNUMBER(Datos!O17),Datos!O17," - ")</f>
        <v>34</v>
      </c>
      <c r="I17" s="452">
        <f t="shared" si="5"/>
        <v>11.333333333333334</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315</v>
      </c>
      <c r="E23" s="1147">
        <f t="shared" si="3"/>
        <v>78.75</v>
      </c>
      <c r="F23" s="1146">
        <f>SUBTOTAL(9,F16:F22)</f>
        <v>994</v>
      </c>
      <c r="G23" s="1147">
        <f t="shared" si="4"/>
        <v>248.5</v>
      </c>
      <c r="H23" s="1146">
        <f>SUBTOTAL(9,H16:H22)</f>
        <v>34</v>
      </c>
      <c r="I23" s="1147">
        <f>IF(ISNUMBER(H23/B23),H23/B23," - ")</f>
        <v>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958</v>
      </c>
      <c r="E31" s="1085">
        <f>IF(ISNUMBER(D31/B31),D31/B31," - ")</f>
        <v>319.33333333333331</v>
      </c>
      <c r="F31" s="1084">
        <f>SUBTOTAL(9,F8:F30)</f>
        <v>1763</v>
      </c>
      <c r="G31" s="1085">
        <f>IF(ISNUMBER(F31/B31),F31/B31," - ")</f>
        <v>587.66666666666663</v>
      </c>
      <c r="H31" s="1084">
        <f>SUBTOTAL(9,H8:H30)</f>
        <v>1084</v>
      </c>
      <c r="I31" s="1085">
        <f>IF(ISNUMBER(H31/B31),H31/B31," - ")</f>
        <v>361.33333333333331</v>
      </c>
    </row>
    <row r="34" spans="1:1">
      <c r="A34" s="439" t="str">
        <f>Criterios!A4</f>
        <v>Fecha Informe: 14 abr. 2023</v>
      </c>
    </row>
    <row r="39" spans="1:1">
      <c r="A39" s="462"/>
    </row>
  </sheetData>
  <sheetProtection algorithmName="SHA-512" hashValue="jVU+AHBIoxHqDoCbsXLcbb1AVkpMDZihcdD5gDnDwxag3PoBpd+wjLo4VAivT/drq/x5zjiS9I9I83mQe4SMeA==" saltValue="XMrhqkZh4HJO9xtW/Du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O PORRIÑO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5</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515</v>
      </c>
      <c r="C12" s="489">
        <f>IF(ISNUMBER(Datos!Q12),Datos!Q12," - ")</f>
        <v>566</v>
      </c>
      <c r="D12" s="456">
        <f>IF(ISNUMBER(Datos!R12),Datos!R12," - ")</f>
        <v>1459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522</v>
      </c>
      <c r="C14" s="1150">
        <f>SUBTOTAL(9,C9:C13)</f>
        <v>571</v>
      </c>
      <c r="D14" s="1148">
        <f>SUBTOTAL(9,D9:D13)</f>
        <v>1465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50</v>
      </c>
      <c r="C17" s="489">
        <f>IF(ISNUMBER(Datos!Q17),Datos!Q17," - ")</f>
        <v>50</v>
      </c>
      <c r="D17" s="456">
        <f>IF(ISNUMBER(Datos!R17),Datos!R17," - ")</f>
        <v>68</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50</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573</v>
      </c>
      <c r="C31" s="1089">
        <f>SUBTOTAL(9,C8:C30)</f>
        <v>621</v>
      </c>
      <c r="D31" s="1090">
        <f>SUBTOTAL(9,D8:D30)</f>
        <v>1534</v>
      </c>
    </row>
    <row r="32" spans="1:4" ht="7.5" customHeight="1"/>
    <row r="33" spans="1:1" ht="6" customHeight="1"/>
    <row r="34" spans="1:1">
      <c r="A34" s="439" t="str">
        <f>Criterios!A4</f>
        <v>Fecha Informe: 14 abr. 2023</v>
      </c>
    </row>
    <row r="39" spans="1:1">
      <c r="A39" s="462"/>
    </row>
  </sheetData>
  <sheetProtection algorithmName="SHA-512" hashValue="OU3v3Blmz4+feATa0kCeCdgJBgjhrWX3iNSjOCtHsYy5d/kqoWBj7KWzMQZFNMXoANnUPGTdw36Ji4nI66IJNg==" saltValue="R63tI54v009c+I06G1Z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O PORRIÑO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-0.41176470588235292</v>
      </c>
      <c r="C10" s="515">
        <f>IF(ISNUMBER((Datos!J10-Datos!T10)/Datos!T10),(Datos!J10-Datos!T10)/Datos!T10," - ")</f>
        <v>1.1818181818181819</v>
      </c>
      <c r="D10" s="515">
        <f>IF(ISNUMBER((Datos!K10-Datos!U10)/Datos!U10),(Datos!K10-Datos!U10)/Datos!U10," - ")</f>
        <v>0.27777777777777779</v>
      </c>
      <c r="E10" s="515">
        <f>IF(ISNUMBER((Datos!L10-Datos!V10)/Datos!V10),(Datos!L10-Datos!V10)/Datos!V10," - ")</f>
        <v>0.1</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-0.41435185185185186</v>
      </c>
      <c r="I10" s="515">
        <f>IF(ISNUMBER(((NºAsuntos!I10/NºAsuntos!G10)-Datos!BE10)/Datos!BE10),((NºAsuntos!I10/NºAsuntos!G10)-Datos!BE10)/Datos!BE10," - ")</f>
        <v>-0.1391304347826087</v>
      </c>
      <c r="J10" s="521">
        <f>IF(ISNUMBER((('Resol  Asuntos'!D10/NºAsuntos!G10)-Datos!BF10)/Datos!BF10),(('Resol  Asuntos'!D10/NºAsuntos!G10)-Datos!BF10)/Datos!BF10," - ")</f>
        <v>-2.173913043478258E-2</v>
      </c>
      <c r="K10" s="522">
        <f>IF(ISNUMBER((((NºAsuntos!C10+NºAsuntos!E10)/NºAsuntos!G10)-Datos!BG10)/Datos!BG10),(((NºAsuntos!C10+NºAsuntos!E10)/NºAsuntos!G10)-Datos!BG10)/Datos!BG10," - ")</f>
        <v>-4.96894409937889E-2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-0.18904899135446687</v>
      </c>
      <c r="C12" s="515">
        <f>IF(ISNUMBER(
   IF(J_V="SI",(Datos!J12-Datos!T12)/Datos!T12,(Datos!J12+Datos!Z12-(Datos!T12+Datos!AH12))/(Datos!T12+Datos!AH12))
     ),IF(J_V="SI",(Datos!J12-Datos!T12)/Datos!T12,(Datos!J12+Datos!Z12-(Datos!T12+Datos!AH12))/(Datos!T12+Datos!AH12))," - ")</f>
        <v>9.7882352941176476E-2</v>
      </c>
      <c r="D12" s="515">
        <f>IF(ISNUMBER(
   IF(J_V="SI",(Datos!K12-Datos!U12)/Datos!U12,(Datos!K12+Datos!AA12-(Datos!U12+Datos!AI12))/(Datos!U12+Datos!AI12))
     ),IF(J_V="SI",(Datos!K12-Datos!U12)/Datos!U12,(Datos!K12+Datos!AA12-(Datos!U12+Datos!AI12))/(Datos!U12+Datos!AI12))," - ")</f>
        <v>-8.3639330885352914E-2</v>
      </c>
      <c r="E12" s="515">
        <f>IF(ISNUMBER(
   IF(J_V="SI",(Datos!L12-Datos!V12)/Datos!V12,(Datos!L12+Datos!AB12-(Datos!V12+Datos!AJ12))/(Datos!V12+Datos!AJ12))
     ),IF(J_V="SI",(Datos!L12-Datos!V12)/Datos!V12,(Datos!L12+Datos!AB12-(Datos!V12+Datos!AJ12))/(Datos!V12+Datos!AJ12))," - ")</f>
        <v>6.1833688699360338E-2</v>
      </c>
      <c r="F12" s="515">
        <f>IF(ISNUMBER((Datos!M12-Datos!W12)/Datos!W12),(Datos!M12-Datos!W12)/Datos!W12," - ")</f>
        <v>4.6280991735537187E-2</v>
      </c>
      <c r="G12" s="516">
        <f>IF(ISNUMBER((Datos!N12-Datos!X12)/Datos!X12),(Datos!N12-Datos!X12)/Datos!X12," - ")</f>
        <v>-1.0416666666666666E-2</v>
      </c>
      <c r="H12" s="514">
        <f>IF(ISNUMBER(((NºAsuntos!G12/NºAsuntos!E12)-Datos!BD12)/Datos!BD12),((NºAsuntos!G12/NºAsuntos!E12)-Datos!BD12)/Datos!BD12," - ")</f>
        <v>-0.16533801034349546</v>
      </c>
      <c r="I12" s="515">
        <f>IF(ISNUMBER(((NºAsuntos!I12/NºAsuntos!G12)-Datos!BE12)/Datos!BE12),((NºAsuntos!I12/NºAsuntos!G12)-Datos!BE12)/Datos!BE12," - ")</f>
        <v>0.15875083303745868</v>
      </c>
      <c r="J12" s="521">
        <f>IF(ISNUMBER((('Resol  Asuntos'!D12/NºAsuntos!G12)-Datos!BF12)/Datos!BF12),(('Resol  Asuntos'!D12/NºAsuntos!G12)-Datos!BF12)/Datos!BF12," - ")</f>
        <v>-0.10055202304096167</v>
      </c>
      <c r="K12" s="522">
        <f>IF(ISNUMBER((((NºAsuntos!C12+NºAsuntos!E12)/NºAsuntos!G12)-Datos!BG12)/Datos!BG12),(((NºAsuntos!C12+NºAsuntos!E12)/NºAsuntos!G12)-Datos!BG12)/Datos!BG12," - ")</f>
        <v>5.7347777741892349E-2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-0.19121004566210045</v>
      </c>
      <c r="C14" s="1152">
        <f>IF(ISNUMBER(
   IF(J_V="SI",(Datos!J14-Datos!T14)/Datos!T14,(Datos!J14+Datos!Z14-(Datos!T14+Datos!AH14))/(Datos!T14+Datos!AH14))
     ),IF(J_V="SI",(Datos!J14-Datos!T14)/Datos!T14,(Datos!J14+Datos!Z14-(Datos!T14+Datos!AH14))/(Datos!T14+Datos!AH14))," - ")</f>
        <v>0.10346441947565543</v>
      </c>
      <c r="D14" s="1152">
        <f>IF(ISNUMBER(
   IF(J_V="SI",(Datos!K14-Datos!U14)/Datos!U14,(Datos!K14+Datos!AA14-(Datos!U14+Datos!AI14))/(Datos!U14+Datos!AI14))
     ),IF(J_V="SI",(Datos!K14-Datos!U14)/Datos!U14,(Datos!K14+Datos!AA14-(Datos!U14+Datos!AI14))/(Datos!U14+Datos!AI14))," - ")</f>
        <v>-8.1004455245038479E-2</v>
      </c>
      <c r="E14" s="1152">
        <f>IF(ISNUMBER(
   IF(J_V="SI",(Datos!L14-Datos!V14)/Datos!V14,(Datos!L14+Datos!AB14-(Datos!V14+Datos!AJ14))/(Datos!V14+Datos!AJ14))
     ),IF(J_V="SI",(Datos!L14-Datos!V14)/Datos!V14,(Datos!L14+Datos!AB14-(Datos!V14+Datos!AJ14))/(Datos!V14+Datos!AJ14))," - ")</f>
        <v>6.2103034580098804E-2</v>
      </c>
      <c r="F14" s="1153">
        <f>IF(ISNUMBER((Datos!M14-Datos!W14)/Datos!W14),(Datos!M14-Datos!W14)/Datos!W14," - ")</f>
        <v>4.8939641109298535E-2</v>
      </c>
      <c r="G14" s="1154">
        <f>IF(ISNUMBER((Datos!N14-Datos!X14)/Datos!X14),(Datos!N14-Datos!X14)/Datos!X14," - ")</f>
        <v>1.3020833333333333E-3</v>
      </c>
      <c r="H14" s="1154">
        <f>IF(ISNUMBER(((NºAsuntos!G14/NºAsuntos!E14)-Datos!BD14)/Datos!BD14),((NºAsuntos!G14/NºAsuntos!E14)-Datos!BD14)/Datos!BD14," - ")</f>
        <v>-0.16717247195731952</v>
      </c>
      <c r="I14" s="1154">
        <f>IF(ISNUMBER(((NºAsuntos!I14/NºAsuntos!G14)-Datos!BE14)/Datos!BE14),((NºAsuntos!I14/NºAsuntos!G14)-Datos!BE14)/Datos!BE14," - ")</f>
        <v>0.15572163612968895</v>
      </c>
      <c r="J14" s="1154">
        <f>IF(ISNUMBER((('Resol  Asuntos'!D14/NºAsuntos!G14)-Datos!BF14)/Datos!BF14),(('Resol  Asuntos'!D14/NºAsuntos!G14)-Datos!BF14)/Datos!BF14," - ")</f>
        <v>-9.8354445620714895E-2</v>
      </c>
      <c r="K14" s="1154">
        <f>IF(ISNUMBER((((NºAsuntos!C14+NºAsuntos!E14)/NºAsuntos!G14)-Datos!BG14)/Datos!BG14),(((NºAsuntos!C14+NºAsuntos!E14)/NºAsuntos!G14)-Datos!BG14)/Datos!BG14," - ")</f>
        <v>5.6239083949529131E-2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-7.5250836120401343E-2</v>
      </c>
      <c r="C17" s="515">
        <f>IF(ISNUMBER(
   IF(D_I="SI",(Datos!J17-Datos!T17)/Datos!T17,(Datos!J17+Datos!AD17-(Datos!T17+Datos!AL17))/(Datos!T17+Datos!AL17))
     ),IF(D_I="SI",(Datos!J17-Datos!T17)/Datos!T17,(Datos!J17+Datos!AD17-(Datos!T17+Datos!AL17))/(Datos!T17+Datos!AL17))," - ")</f>
        <v>1.9867549668874173E-2</v>
      </c>
      <c r="D17" s="515">
        <f>IF(ISNUMBER(
   IF(D_I="SI",(Datos!K17-Datos!U17)/Datos!U17,(Datos!K17+Datos!AE17-(Datos!U17+Datos!AM17))/(Datos!U17+Datos!AM17))
     ),IF(D_I="SI",(Datos!K17-Datos!U17)/Datos!U17,(Datos!K17+Datos!AE17-(Datos!U17+Datos!AM17))/(Datos!U17+Datos!AM17))," - ")</f>
        <v>-6.1813980358174467E-2</v>
      </c>
      <c r="E17" s="515">
        <f>IF(ISNUMBER(
   IF(D_I="SI",(Datos!L17-Datos!V17)/Datos!V17,(Datos!L17+Datos!AF17-(Datos!V17+Datos!AN17))/(Datos!V17+Datos!AN17))
     ),IF(D_I="SI",(Datos!L17-Datos!V17)/Datos!V17,(Datos!L17+Datos!AF17-(Datos!V17+Datos!AN17))/(Datos!V17+Datos!AN17))," - ")</f>
        <v>0.10488245931283906</v>
      </c>
      <c r="F17" s="515">
        <f>IF(ISNUMBER((Datos!M17-Datos!W17)/Datos!W17),(Datos!M17-Datos!W17)/Datos!W17," - ")</f>
        <v>-7.1207430340557279E-2</v>
      </c>
      <c r="G17" s="516">
        <f>IF(ISNUMBER((Datos!N17-Datos!X17)/Datos!X17),(Datos!N17-Datos!X17)/Datos!X17," - ")</f>
        <v>-5.053763440860215E-2</v>
      </c>
      <c r="H17" s="514">
        <f>IF(ISNUMBER(((NºAsuntos!G17/NºAsuntos!E17)-Datos!BD17)/Datos!BD17),((NºAsuntos!G17/NºAsuntos!E17)-Datos!BD17)/Datos!BD17," - ")</f>
        <v>-8.0090331390158101E-2</v>
      </c>
      <c r="I17" s="515">
        <f>IF(ISNUMBER(((NºAsuntos!I17/NºAsuntos!G17)-Datos!BE17)/Datos!BE17),((NºAsuntos!I17/NºAsuntos!G17)-Datos!BE17)/Datos!BE17," - ")</f>
        <v>0.17767951790056935</v>
      </c>
      <c r="J17" s="521">
        <f>IF(ISNUMBER((('Resol  Asuntos'!D17/NºAsuntos!G17)-Datos!BF17)/Datos!BF17),(('Resol  Asuntos'!D17/NºAsuntos!G17)-Datos!BF17)/Datos!BF17," - ")</f>
        <v>-1.0012353398709718E-2</v>
      </c>
      <c r="K17" s="522">
        <f>IF(ISNUMBER((((NºAsuntos!C17+NºAsuntos!E17)/NºAsuntos!G17)-Datos!BG17)/Datos!BG17),(((NºAsuntos!C17+NºAsuntos!E17)/NºAsuntos!G17)-Datos!BG17)/Datos!BG17," - ")</f>
        <v>6.022461876631395E-2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-0.31372549019607843</v>
      </c>
      <c r="C18" s="515">
        <f>IF(ISNUMBER(
   IF(D_I="SI",(Datos!J18-Datos!T18)/Datos!T18,(Datos!J18+Datos!AD18-(Datos!T18+Datos!AL18))/(Datos!T18+Datos!AL18))
     ),IF(D_I="SI",(Datos!J18-Datos!T18)/Datos!T18,(Datos!J18+Datos!AD18-(Datos!T18+Datos!AL18))/(Datos!T18+Datos!AL18))," - ")</f>
        <v>4.8275862068965517E-2</v>
      </c>
      <c r="D18" s="515">
        <f>IF(ISNUMBER(
   IF(D_I="SI",(Datos!K18-Datos!U18)/Datos!U18,(Datos!K18+Datos!AE18-(Datos!U18+Datos!AM18))/(Datos!U18+Datos!AM18))
     ),IF(D_I="SI",(Datos!K18-Datos!U18)/Datos!U18,(Datos!K18+Datos!AE18-(Datos!U18+Datos!AM18))/(Datos!U18+Datos!AM18))," - ")</f>
        <v>-1.1627906976744186E-2</v>
      </c>
      <c r="E18" s="515">
        <f>IF(ISNUMBER(
   IF(D_I="SI",(Datos!L18-Datos!V18)/Datos!V18,(Datos!L18+Datos!AF18-(Datos!V18+Datos!AN18))/(Datos!V18+Datos!AN18))
     ),IF(D_I="SI",(Datos!L18-Datos!V18)/Datos!V18,(Datos!L18+Datos!AF18-(Datos!V18+Datos!AN18))/(Datos!V18+Datos!AN18))," - ")</f>
        <v>-0.51428571428571423</v>
      </c>
      <c r="F18" s="515">
        <f>IF(ISNUMBER((Datos!M18-Datos!W18)/Datos!W18),(Datos!M18-Datos!W18)/Datos!W18," - ")</f>
        <v>0.66666666666666663</v>
      </c>
      <c r="G18" s="516">
        <f>IF(ISNUMBER((Datos!N18-Datos!X18)/Datos!X18),(Datos!N18-Datos!X18)/Datos!X18," - ")</f>
        <v>0.23333333333333334</v>
      </c>
      <c r="H18" s="514">
        <f>IF(ISNUMBER(((NºAsuntos!G18/NºAsuntos!E18)-Datos!BD18)/Datos!BD18),((NºAsuntos!G18/NºAsuntos!E18)-Datos!BD18)/Datos!BD18," - ")</f>
        <v>-5.7145042839657198E-2</v>
      </c>
      <c r="I18" s="515">
        <f>IF(ISNUMBER(((NºAsuntos!I18/NºAsuntos!G18)-Datos!BE18)/Datos!BE18),((NºAsuntos!I18/NºAsuntos!G18)-Datos!BE18)/Datos!BE18," - ")</f>
        <v>-0.50857142857142856</v>
      </c>
      <c r="J18" s="521">
        <f>IF(ISNUMBER((('Resol  Asuntos'!D18/NºAsuntos!G18)-Datos!BF18)/Datos!BF18),(('Resol  Asuntos'!D18/NºAsuntos!G18)-Datos!BF18)/Datos!BF18," - ")</f>
        <v>0.68627450980392157</v>
      </c>
      <c r="K18" s="522">
        <f>IF(ISNUMBER((((NºAsuntos!C18+NºAsuntos!E18)/NºAsuntos!G18)-Datos!BG18)/Datos!BG18),(((NºAsuntos!C18+NºAsuntos!E18)/NºAsuntos!G18)-Datos!BG18)/Datos!BG18," - ")</f>
        <v>-3.4693877551020352E-2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-9.3990755007704166E-2</v>
      </c>
      <c r="C23" s="1152">
        <f>IF(ISNUMBER(
   IF(Criterios!B14="SI",(Datos!J23-Datos!T23)/Datos!T23,(Datos!J23+Datos!AD23-(Datos!T23+Datos!AL23))/(Datos!T23+Datos!AL23))
     ),IF(Criterios!B14="SI",(Datos!J23-Datos!T23)/Datos!T23,(Datos!J23+Datos!AD23-(Datos!T23+Datos!AL23))/(Datos!T23+Datos!AL23))," - ")</f>
        <v>2.2148394241417499E-2</v>
      </c>
      <c r="D23" s="1152">
        <f>IF(ISNUMBER(
   IF(Criterios!B14="SI",(Datos!K23-Datos!U23)/Datos!U23,(Datos!K23+Datos!AE23-(Datos!U23+Datos!AM23))/(Datos!U23+Datos!AM23))
     ),IF(Criterios!B14="SI",(Datos!K23-Datos!U23)/Datos!U23,(Datos!K23+Datos!AE23-(Datos!U23+Datos!AM23))/(Datos!U23+Datos!AM23))," - ")</f>
        <v>-5.727798213347346E-2</v>
      </c>
      <c r="E23" s="1152">
        <f>IF(ISNUMBER(
   IF(Criterios!B14="SI",(Datos!L23-Datos!V23)/Datos!V23,(Datos!L23+Datos!AF23-(Datos!V23+Datos!AN23))/(Datos!V23+Datos!AN23))
     ),IF(Criterios!B14="SI",(Datos!L23-Datos!V23)/Datos!V23,(Datos!L23+Datos!AF23-(Datos!V23+Datos!AN23))/(Datos!V23+Datos!AN23))," - ")</f>
        <v>6.8027210884353748E-2</v>
      </c>
      <c r="F23" s="1153">
        <f>IF(ISNUMBER((Datos!M23-Datos!W23)/Datos!W23),(Datos!M23-Datos!W23)/Datos!W23," - ")</f>
        <v>-5.1204819277108432E-2</v>
      </c>
      <c r="G23" s="1154">
        <f>IF(ISNUMBER((Datos!N23-Datos!X23)/Datos!X23),(Datos!N23-Datos!X23)/Datos!X23," - ")</f>
        <v>-2.5490196078431372E-2</v>
      </c>
      <c r="H23" s="1154">
        <f>IF(ISNUMBER(((NºAsuntos!G23/NºAsuntos!E23)-Datos!BD23)/Datos!BD23),((NºAsuntos!G23/NºAsuntos!E23)-Datos!BD23)/Datos!BD23," - ")</f>
        <v>-7.7705328132748108E-2</v>
      </c>
      <c r="I23" s="1154">
        <f>IF(ISNUMBER(((NºAsuntos!I23/NºAsuntos!G23)-Datos!BE23)/Datos!BE23),((NºAsuntos!I23/NºAsuntos!G23)-Datos!BE23)/Datos!BE23," - ")</f>
        <v>0.13291849627253363</v>
      </c>
      <c r="J23" s="1154">
        <f>IF(ISNUMBER((('Resol  Asuntos'!D23/NºAsuntos!G23)-Datos!BF23)/Datos!BF23),(('Resol  Asuntos'!D23/NºAsuntos!G23)-Datos!BF23)/Datos!BF23," - ")</f>
        <v>6.4421565862110243E-3</v>
      </c>
      <c r="K23" s="1154">
        <f>IF(ISNUMBER((((NºAsuntos!C23+NºAsuntos!E23)/NºAsuntos!G23)-Datos!BG23)/Datos!BG23),(((NºAsuntos!C23+NºAsuntos!E23)/NºAsuntos!G23)-Datos!BG23)/Datos!BG23," - ")</f>
        <v>5.1684388105179745E-2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-0.16493127863390253</v>
      </c>
      <c r="C31" s="1092">
        <f>IF(ISNUMBER(
   IF(J_V="SI",(Datos!J31-Datos!T31)/Datos!T31,(Datos!J31+Datos!Z31-(Datos!T31+Datos!AH31))/(Datos!T31+Datos!AH31))
     ),IF(J_V="SI",(Datos!J31-Datos!T31)/Datos!T31,(Datos!J31+Datos!Z31-(Datos!T31+Datos!AH31))/(Datos!T31+Datos!AH31))," - ")</f>
        <v>6.6210045662100453E-2</v>
      </c>
      <c r="D31" s="1092">
        <f>IF(ISNUMBER(
   IF(J_V="SI",(Datos!K31-Datos!U31)/Datos!U31,(Datos!K31+Datos!AA31-(Datos!U31+Datos!AI31))/(Datos!U31+Datos!AI31))
     ),IF(J_V="SI",(Datos!K31-Datos!U31)/Datos!U31,(Datos!K31+Datos!AA31-(Datos!U31+Datos!AI31))/(Datos!U31+Datos!AI31))," - ")</f>
        <v>-7.0677035681610254E-2</v>
      </c>
      <c r="E31" s="1092">
        <f>IF(ISNUMBER(
   IF(J_V="SI",(Datos!L31-Datos!V31)/Datos!V31,(Datos!L31+Datos!AB31-(Datos!V31+Datos!AJ31))/(Datos!V31+Datos!AJ31))
     ),IF(J_V="SI",(Datos!L31-Datos!V31)/Datos!V31,(Datos!L31+Datos!AB31-(Datos!V31+Datos!AJ31))/(Datos!V31+Datos!AJ31))," - ")</f>
        <v>6.3840399002493761E-2</v>
      </c>
      <c r="F31" s="1093">
        <f>IF(ISNUMBER((Datos!M31-Datos!W31)/Datos!W31),(Datos!M31-Datos!W31)/Datos!W31," - ")</f>
        <v>1.3756613756613757E-2</v>
      </c>
      <c r="G31" s="1094">
        <f>IF(ISNUMBER((Datos!N31-Datos!X31)/Datos!X31),(Datos!N31-Datos!X31)/Datos!X31," - ")</f>
        <v>-1.3982102908277404E-2</v>
      </c>
      <c r="H31" s="1095">
        <f>IF(ISNUMBER((Tasas!B31-Datos!BD31)/Datos!BD31),(Tasas!B31-Datos!BD31)/Datos!BD31," - ")</f>
        <v>-0.12838659877632827</v>
      </c>
      <c r="I31" s="1096">
        <f>IF(ISNUMBER((Tasas!C31-Datos!BE31)/Datos!BE31),(Tasas!C31-Datos!BE31)/Datos!BE31," - ")</f>
        <v>0.14474777859682555</v>
      </c>
      <c r="J31" s="1097">
        <f>IF(ISNUMBER((Tasas!D31-Datos!BF31)/Datos!BF31),(Tasas!D31-Datos!BF31)/Datos!BF31," - ")</f>
        <v>-6.9622755677501674E-2</v>
      </c>
      <c r="K31" s="1097">
        <f>IF(ISNUMBER((Tasas!E31-Datos!BG31)/Datos!BG31),(Tasas!E31-Datos!BG31)/Datos!BG31," - ")</f>
        <v>5.3150232102310763E-2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nDuBZVI+gYK6bBAbUTk0DIk4xaBSZMD7g7+47lL3yjeGRvOhbQqscl1DnsX6tSeN2ZcXU6LgnNLHdBmihGwg==" saltValue="z5dJLTx7uiLmsrvsfxqT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O PORRIÑO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0.95833333333333337</v>
      </c>
      <c r="C10" s="498">
        <f>IF(ISNUMBER(NºAsuntos!I10/NºAsuntos!G10),NºAsuntos!I10/NºAsuntos!G10," - ")</f>
        <v>0.47826086956521741</v>
      </c>
      <c r="D10" s="499">
        <f>IF(ISNUMBER('Resol  Asuntos'!D10/NºAsuntos!G10),'Resol  Asuntos'!D10/NºAsuntos!G10," - ")</f>
        <v>0.43478260869565216</v>
      </c>
      <c r="E10" s="500">
        <f>IF(ISNUMBER((NºAsuntos!C10+NºAsuntos!E10)/NºAsuntos!G10),(NºAsuntos!C10+NºAsuntos!E10)/NºAsuntos!G10," - ")</f>
        <v>1.4782608695652173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0.96270895842263182</v>
      </c>
      <c r="C12" s="498">
        <f>IF(ISNUMBER(NºAsuntos!I12/NºAsuntos!G12),NºAsuntos!I12/NºAsuntos!G12," - ")</f>
        <v>0.66518254674977739</v>
      </c>
      <c r="D12" s="499">
        <f>IF(ISNUMBER('Resol  Asuntos'!D12/NºAsuntos!G12),'Resol  Asuntos'!D12/NºAsuntos!G12," - ")</f>
        <v>0.28183437221727514</v>
      </c>
      <c r="E12" s="500">
        <f>IF(ISNUMBER((NºAsuntos!C12+NºAsuntos!E12)/NºAsuntos!G12),(NºAsuntos!C12+NºAsuntos!E12)/NºAsuntos!G12," - ")</f>
        <v>1.6651825467497774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0.96266440390326691</v>
      </c>
      <c r="C14" s="1156">
        <f>IF(ISNUMBER(NºAsuntos!I14/NºAsuntos!G14),NºAsuntos!I14/NºAsuntos!G14," - ")</f>
        <v>0.66328779197884535</v>
      </c>
      <c r="D14" s="1157">
        <f>IF(ISNUMBER('Resol  Asuntos'!D14/NºAsuntos!G14),'Resol  Asuntos'!D14/NºAsuntos!G14," - ")</f>
        <v>0.28338475099162624</v>
      </c>
      <c r="E14" s="1158">
        <f>IF(ISNUMBER((NºAsuntos!C14+NºAsuntos!E14)/NºAsuntos!G14),(NºAsuntos!C14+NºAsuntos!E14)/NºAsuntos!G14," - ")</f>
        <v>1.6632877919788454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0.95867768595041325</v>
      </c>
      <c r="C17" s="498">
        <f>IF(ISNUMBER(NºAsuntos!I17/NºAsuntos!G17),NºAsuntos!I17/NºAsuntos!G17," - ")</f>
        <v>0.37623152709359609</v>
      </c>
      <c r="D17" s="499">
        <f>IF(ISNUMBER('Resol  Asuntos'!D17/NºAsuntos!G17),'Resol  Asuntos'!D17/NºAsuntos!G17," - ")</f>
        <v>0.18472906403940886</v>
      </c>
      <c r="E17" s="500">
        <f>IF(ISNUMBER((NºAsuntos!C17+NºAsuntos!E17)/NºAsuntos!G17),(NºAsuntos!C17+NºAsuntos!E17)/NºAsuntos!G17," - ")</f>
        <v>1.3836206896551724</v>
      </c>
      <c r="G17" s="523"/>
    </row>
    <row r="18" spans="1:7">
      <c r="A18" s="450" t="str">
        <f>Datos!A18</f>
        <v>Jdos. Violencia contra la mujer</v>
      </c>
      <c r="B18" s="497">
        <f>IF(ISNUMBER(NºAsuntos!G18/NºAsuntos!E18),NºAsuntos!G18/NºAsuntos!E18," - ")</f>
        <v>1.118421052631579</v>
      </c>
      <c r="C18" s="498">
        <f>IF(ISNUMBER(NºAsuntos!I18/NºAsuntos!G18),NºAsuntos!I18/NºAsuntos!G18," - ")</f>
        <v>0.1</v>
      </c>
      <c r="D18" s="499">
        <f>IF(ISNUMBER('Resol  Asuntos'!D18/NºAsuntos!G18),'Resol  Asuntos'!D18/NºAsuntos!G18," - ")</f>
        <v>8.8235294117647065E-2</v>
      </c>
      <c r="E18" s="500">
        <f>IF(ISNUMBER((NºAsuntos!C18+NºAsuntos!E18)/NºAsuntos!G18),(NºAsuntos!C18+NºAsuntos!E18)/NºAsuntos!G18," - ")</f>
        <v>1.1000000000000001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0.971830985915493</v>
      </c>
      <c r="C23" s="1156">
        <f>IF(ISNUMBER(NºAsuntos!I23/NºAsuntos!G23),NºAsuntos!I23/NºAsuntos!G23," - ")</f>
        <v>0.35005574136008921</v>
      </c>
      <c r="D23" s="1159">
        <f>IF(ISNUMBER('Resol  Asuntos'!D23/NºAsuntos!G23),'Resol  Asuntos'!D23/NºAsuntos!G23," - ")</f>
        <v>0.17558528428093645</v>
      </c>
      <c r="E23" s="1158">
        <f>IF(ISNUMBER((NºAsuntos!C23+NºAsuntos!E23)/NºAsuntos!G23),(NºAsuntos!C23+NºAsuntos!E23)/NºAsuntos!G23," - ")</f>
        <v>1.3567447045707914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0.96669045919581253</v>
      </c>
      <c r="C31" s="1099">
        <f>IF(ISNUMBER(NºAsuntos!I31/NºAsuntos!G31),NºAsuntos!I31/NºAsuntos!G31," - ")</f>
        <v>0.52498154073344816</v>
      </c>
      <c r="D31" s="1100">
        <f>IF(ISNUMBER('Resol  Asuntos'!D31/NºAsuntos!G31),'Resol  Asuntos'!D31/NºAsuntos!G31," - ")</f>
        <v>0.23578636475510706</v>
      </c>
      <c r="E31" s="1101">
        <f>IF(ISNUMBER((NºAsuntos!C31+NºAsuntos!E31)/NºAsuntos!G31),(NºAsuntos!C31+NºAsuntos!E31)/NºAsuntos!G31," - ")</f>
        <v>1.5279350233817377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CXo2KrCoQ3cZfkabbkAn9GInOz73K8y8wor3aT7Naz5AE0z7Ml6JOLL5LRjEMFRfVxsVixRgGFjhF11oXGM/Q==" saltValue="DC/eOVYitxendUqukgCm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O PORRIÑO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5</v>
      </c>
      <c r="Y10" s="374">
        <f t="shared" ref="Y10:Y13" si="0">SUM(W10:X10)</f>
        <v>28</v>
      </c>
      <c r="Z10" s="375" t="str">
        <f>IF(ISNUMBER(Datos!CC10),Datos!CC10," - ")</f>
        <v xml:space="preserve"> - </v>
      </c>
      <c r="AA10" s="372">
        <f>IF(ISNUMBER(Datos!L10),Datos!L10,"-")</f>
        <v>11</v>
      </c>
      <c r="AB10" s="374">
        <f>IF(ISNUMBER(Datos!R10),Datos!R10," - ")</f>
        <v>6</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0.95833333333333337</v>
      </c>
      <c r="AM10" s="284">
        <f>IF(ISNUMBER(((NºAsuntos!I10/NºAsuntos!G10)*11)/factor_trimestre),((NºAsuntos!I10/NºAsuntos!G10)*11)/factor_trimestre," - ")</f>
        <v>5.2608695652173916</v>
      </c>
      <c r="AN10" s="267">
        <f>IF(ISNUMBER('Resol  Asuntos'!D10/NºAsuntos!G10),'Resol  Asuntos'!D10/NºAsuntos!G10," - ")</f>
        <v>0.43478260869565216</v>
      </c>
      <c r="AO10" s="268">
        <f>IF(ISNUMBER((NºAsuntos!C10+NºAsuntos!E10)/NºAsuntos!G10),(NºAsuntos!C10+NºAsuntos!E10)/NºAsuntos!G10," - ")</f>
        <v>1.4782608695652173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566</v>
      </c>
      <c r="Y12" s="374">
        <f t="shared" si="0"/>
        <v>566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633</v>
      </c>
      <c r="AJ12" s="243" t="str">
        <f>IF(ISNUMBER(Datos!BW12),Datos!BW12," - ")</f>
        <v xml:space="preserve"> - </v>
      </c>
      <c r="AK12" s="242" t="str">
        <f>IF(ISNUMBER(Datos!BX12),Datos!BX12," - ")</f>
        <v xml:space="preserve"> - </v>
      </c>
      <c r="AL12" s="266">
        <f>IF(ISNUMBER(NºAsuntos!G12/NºAsuntos!E12),NºAsuntos!G12/NºAsuntos!E12," - ")</f>
        <v>0.96270895842263182</v>
      </c>
      <c r="AM12" s="284">
        <f>IF(ISNUMBER(((NºAsuntos!I12/NºAsuntos!G12)*11)/factor_trimestre),((NºAsuntos!I12/NºAsuntos!G12)*11)/factor_trimestre," - ")</f>
        <v>7.3170080142475511</v>
      </c>
      <c r="AN12" s="267">
        <f>IF(ISNUMBER('Resol  Asuntos'!D12/NºAsuntos!G12),'Resol  Asuntos'!D12/NºAsuntos!G12," - ")</f>
        <v>0.28183437221727514</v>
      </c>
      <c r="AO12" s="268">
        <f>IF(ISNUMBER((NºAsuntos!C12+NºAsuntos!E12)/NºAsuntos!G12),(NºAsuntos!C12+NºAsuntos!E12)/NºAsuntos!G12," - ")</f>
        <v>1.6651825467497774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522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571</v>
      </c>
      <c r="Y14" s="1165">
        <f t="shared" si="6"/>
        <v>594</v>
      </c>
      <c r="Z14" s="1165">
        <f t="shared" si="6"/>
        <v>0</v>
      </c>
      <c r="AA14" s="1165">
        <f t="shared" si="6"/>
        <v>11</v>
      </c>
      <c r="AB14" s="1165">
        <f t="shared" si="6"/>
        <v>1465</v>
      </c>
      <c r="AC14" s="1165">
        <f t="shared" si="6"/>
        <v>17</v>
      </c>
      <c r="AD14" s="1165">
        <f t="shared" si="6"/>
        <v>0</v>
      </c>
      <c r="AE14" s="1169">
        <f t="shared" si="6"/>
        <v>0</v>
      </c>
      <c r="AF14" s="1162">
        <f t="shared" si="6"/>
        <v>0</v>
      </c>
      <c r="AG14" s="1170">
        <f t="shared" si="6"/>
        <v>0</v>
      </c>
      <c r="AH14" s="1167">
        <f t="shared" si="6"/>
        <v>0</v>
      </c>
      <c r="AI14" s="1162">
        <f t="shared" si="6"/>
        <v>643</v>
      </c>
      <c r="AJ14" s="1164">
        <f t="shared" si="6"/>
        <v>0</v>
      </c>
      <c r="AK14" s="1167">
        <f>SUBTOTAL(9,AK9:AK13)</f>
        <v>0</v>
      </c>
      <c r="AL14" s="1171">
        <f>IF(ISNUMBER(NºAsuntos!G14/NºAsuntos!E14),NºAsuntos!G14/NºAsuntos!E14," - ")</f>
        <v>0.96266440390326691</v>
      </c>
      <c r="AM14" s="1171">
        <f>IF(ISNUMBER(((NºAsuntos!I14/NºAsuntos!G14)*11)/factor_trimestre),((NºAsuntos!I14/NºAsuntos!G14)*11)/factor_trimestre," - ")</f>
        <v>7.2961657117672987</v>
      </c>
      <c r="AN14" s="1172">
        <f>IF(ISNUMBER('Resol  Asuntos'!D14/NºAsuntos!G14),'Resol  Asuntos'!D14/NºAsuntos!G14," - ")</f>
        <v>0.28338475099162624</v>
      </c>
      <c r="AO14" s="1173">
        <f>IF(ISNUMBER((NºAsuntos!C14+NºAsuntos!E14)/NºAsuntos!G14),(NºAsuntos!C14+NºAsuntos!E14)/NºAsuntos!G14," - ")</f>
        <v>1.6632877919788454</v>
      </c>
      <c r="AP14" s="1174" t="str">
        <f t="shared" si="2"/>
        <v xml:space="preserve"> - </v>
      </c>
      <c r="AQ14" s="1174">
        <f>IF(ISNUMBER((H14-W14+K14)/(F14)),(H14-W14+K14)/(F14)," - ")</f>
        <v>-2.2999999999999998</v>
      </c>
      <c r="AR14" s="1175">
        <f>IF(ISNUMBER((Datos!P14-Datos!Q14)/(Datos!R14-Datos!P14+Datos!Q14)),(Datos!P14-Datos!Q14)/(Datos!R14-Datos!P14+Datos!Q14)," - ")</f>
        <v>-3.2364597093791282E-2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541</v>
      </c>
      <c r="G17" s="373">
        <f>IF(ISNUMBER(IF(D_I="SI",Datos!I17,Datos!I17+Datos!AC17)),IF(D_I="SI",Datos!I17,Datos!I17+Datos!AC17)," - ")</f>
        <v>553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1624</v>
      </c>
      <c r="X17" s="240">
        <f>IF(ISNUMBER(Datos!Q17),Datos!Q17," - ")</f>
        <v>50</v>
      </c>
      <c r="Y17" s="374">
        <f t="shared" ref="Y17:Y22" si="9">SUM(W17:X17)</f>
        <v>1674</v>
      </c>
      <c r="Z17" s="375" t="str">
        <f>IF(ISNUMBER(Datos!CC17),Datos!CC17," - ")</f>
        <v xml:space="preserve"> - </v>
      </c>
      <c r="AA17" s="372">
        <f>IF(ISNUMBER(IF(D_I="SI",Datos!L17,Datos!L17+Datos!AF17)),IF(D_I="SI",Datos!L17,Datos!L17+Datos!AF17)," - ")</f>
        <v>611</v>
      </c>
      <c r="AB17" s="374">
        <f>IF(ISNUMBER(Datos!R17),Datos!R17," - ")</f>
        <v>68</v>
      </c>
      <c r="AC17" s="374">
        <f t="shared" si="8"/>
        <v>679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300</v>
      </c>
      <c r="AJ17" s="245" t="str">
        <f>IF(ISNUMBER(Datos!BW17),Datos!BW17," - ")</f>
        <v xml:space="preserve"> - </v>
      </c>
      <c r="AK17" s="246" t="str">
        <f>IF(ISNUMBER(Datos!BX17),Datos!BX17," - ")</f>
        <v xml:space="preserve"> - </v>
      </c>
      <c r="AL17" s="266">
        <f>IF(ISNUMBER(NºAsuntos!G17/NºAsuntos!E17),NºAsuntos!G17/NºAsuntos!E17," - ")</f>
        <v>0.95867768595041325</v>
      </c>
      <c r="AM17" s="284">
        <f>IF(ISNUMBER(((NºAsuntos!I17/NºAsuntos!G17)*11)/factor_trimestre),((NºAsuntos!I17/NºAsuntos!G17)*11)/factor_trimestre," - ")</f>
        <v>4.1385467980295569</v>
      </c>
      <c r="AN17" s="267">
        <f>IF(ISNUMBER('Resol  Asuntos'!D17/NºAsuntos!G17),'Resol  Asuntos'!D17/NºAsuntos!G17," - ")</f>
        <v>0.18472906403940886</v>
      </c>
      <c r="AO17" s="268">
        <f>IF(ISNUMBER((NºAsuntos!C17+NºAsuntos!E17)/NºAsuntos!G17),(NºAsuntos!C17+NºAsuntos!E17)/NºAsuntos!G17," - ")</f>
        <v>1.3836206896551724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170</v>
      </c>
      <c r="X18" s="240">
        <f>IF(ISNUMBER(Datos!Q18),Datos!Q18," - ")</f>
        <v>0</v>
      </c>
      <c r="Y18" s="374">
        <f t="shared" si="9"/>
        <v>170</v>
      </c>
      <c r="Z18" s="375" t="str">
        <f>IF(ISNUMBER(Datos!CC18),Datos!CC18," - ")</f>
        <v xml:space="preserve"> - </v>
      </c>
      <c r="AA18" s="372">
        <f>IF(ISNUMBER(Datos!L18),Datos!L18,"-")</f>
        <v>17</v>
      </c>
      <c r="AB18" s="374">
        <f>IF(ISNUMBER(Datos!R18),Datos!R18," - ")</f>
        <v>1</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1.118421052631579</v>
      </c>
      <c r="AM18" s="284">
        <f>IF(ISNUMBER(((NºAsuntos!I18/NºAsuntos!G18)*11)/factor_trimestre),((NºAsuntos!I18/NºAsuntos!G18)*11)/factor_trimestre," - ")</f>
        <v>1.1000000000000001</v>
      </c>
      <c r="AN18" s="267">
        <f>IF(ISNUMBER('Resol  Asuntos'!D18/NºAsuntos!G18),'Resol  Asuntos'!D18/NºAsuntos!G18," - ")</f>
        <v>8.8235294117647065E-2</v>
      </c>
      <c r="AO18" s="268">
        <f>IF(ISNUMBER((NºAsuntos!C18+NºAsuntos!E18)/NºAsuntos!G18),(NºAsuntos!C18+NºAsuntos!E18)/NºAsuntos!G18," - ")</f>
        <v>1.1000000000000001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541</v>
      </c>
      <c r="G23" s="1163">
        <f>SUBTOTAL(9,G16:G22)</f>
        <v>588</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1794</v>
      </c>
      <c r="X23" s="1164">
        <f t="shared" si="14"/>
        <v>50</v>
      </c>
      <c r="Y23" s="1165">
        <f t="shared" si="14"/>
        <v>1844</v>
      </c>
      <c r="Z23" s="1165">
        <f t="shared" si="14"/>
        <v>0</v>
      </c>
      <c r="AA23" s="1165">
        <f t="shared" si="14"/>
        <v>628</v>
      </c>
      <c r="AB23" s="1165">
        <f t="shared" si="14"/>
        <v>69</v>
      </c>
      <c r="AC23" s="1165">
        <f t="shared" si="14"/>
        <v>697</v>
      </c>
      <c r="AD23" s="1165">
        <f t="shared" si="14"/>
        <v>0</v>
      </c>
      <c r="AE23" s="1169">
        <f t="shared" si="14"/>
        <v>0</v>
      </c>
      <c r="AF23" s="1162">
        <f t="shared" si="14"/>
        <v>0</v>
      </c>
      <c r="AG23" s="1170">
        <f t="shared" si="14"/>
        <v>0</v>
      </c>
      <c r="AH23" s="1167">
        <f t="shared" si="14"/>
        <v>0</v>
      </c>
      <c r="AI23" s="1162">
        <f t="shared" si="14"/>
        <v>315</v>
      </c>
      <c r="AJ23" s="1164">
        <f t="shared" si="14"/>
        <v>0</v>
      </c>
      <c r="AK23" s="1167">
        <f t="shared" si="14"/>
        <v>0</v>
      </c>
      <c r="AL23" s="1171">
        <f>IF(ISNUMBER(NºAsuntos!G23/NºAsuntos!E23),NºAsuntos!G23/NºAsuntos!E23," - ")</f>
        <v>0.971830985915493</v>
      </c>
      <c r="AM23" s="1171">
        <f>IF(ISNUMBER(((NºAsuntos!I23/NºAsuntos!G23)*11)/factor_trimestre),((NºAsuntos!I23/NºAsuntos!G23)*11)/factor_trimestre," - ")</f>
        <v>3.8506131549609814</v>
      </c>
      <c r="AN23" s="1172">
        <f>IF(ISNUMBER('Resol  Asuntos'!D23/NºAsuntos!G23),'Resol  Asuntos'!D23/NºAsuntos!G23," - ")</f>
        <v>0.17558528428093645</v>
      </c>
      <c r="AO23" s="1173">
        <f>IF(ISNUMBER((NºAsuntos!C23+NºAsuntos!E23)/NºAsuntos!G23),(NºAsuntos!C23+NºAsuntos!E23)/NºAsuntos!G23," - ")</f>
        <v>1.3567447045707914</v>
      </c>
      <c r="AP23" s="1174" t="str">
        <f t="shared" si="2"/>
        <v xml:space="preserve"> - </v>
      </c>
      <c r="AQ23" s="1174">
        <f>IF(ISNUMBER((H23-W23+K23)/(F23)),(H23-W23+K23)/(F23)," - ")</f>
        <v>-3.3160813308687613</v>
      </c>
      <c r="AR23" s="1175">
        <f>IF(ISNUMBER((Datos!P23-Datos!Q23)/(Datos!R23-Datos!P23+Datos!Q23)),(Datos!P23-Datos!Q23)/(Datos!R23-Datos!P23+Datos!Q23)," - ")</f>
        <v>1.4705882352941176E-2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551</v>
      </c>
      <c r="G31" s="1118">
        <f t="shared" si="20"/>
        <v>598</v>
      </c>
      <c r="H31" s="1117">
        <f t="shared" si="20"/>
        <v>0</v>
      </c>
      <c r="I31" s="1119">
        <f t="shared" si="20"/>
        <v>0</v>
      </c>
      <c r="J31" s="1119">
        <f t="shared" si="20"/>
        <v>0</v>
      </c>
      <c r="K31" s="1180">
        <f t="shared" si="20"/>
        <v>0</v>
      </c>
      <c r="L31" s="1119">
        <f t="shared" si="20"/>
        <v>573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1817</v>
      </c>
      <c r="X31" s="1118">
        <f t="shared" si="21"/>
        <v>621</v>
      </c>
      <c r="Y31" s="1125">
        <f t="shared" si="21"/>
        <v>2438</v>
      </c>
      <c r="Z31" s="1125">
        <f t="shared" si="21"/>
        <v>0</v>
      </c>
      <c r="AA31" s="1125">
        <f t="shared" si="21"/>
        <v>639</v>
      </c>
      <c r="AB31" s="1125">
        <f t="shared" si="21"/>
        <v>1534</v>
      </c>
      <c r="AC31" s="1125">
        <f t="shared" si="21"/>
        <v>714</v>
      </c>
      <c r="AD31" s="1125">
        <f t="shared" si="21"/>
        <v>0</v>
      </c>
      <c r="AE31" s="1127">
        <f t="shared" si="21"/>
        <v>0</v>
      </c>
      <c r="AF31" s="1128">
        <f t="shared" si="21"/>
        <v>0</v>
      </c>
      <c r="AG31" s="1129">
        <f t="shared" si="21"/>
        <v>0</v>
      </c>
      <c r="AH31" s="1127">
        <f t="shared" si="21"/>
        <v>0</v>
      </c>
      <c r="AI31" s="1117">
        <f t="shared" si="21"/>
        <v>958</v>
      </c>
      <c r="AJ31" s="1117">
        <f t="shared" si="21"/>
        <v>0</v>
      </c>
      <c r="AK31" s="1127">
        <f t="shared" si="21"/>
        <v>0</v>
      </c>
      <c r="AL31" s="1183">
        <f>IF(ISNUMBER(NºAsuntos!G31/NºAsuntos!E31),NºAsuntos!G31/NºAsuntos!E31," - ")</f>
        <v>0.96669045919581253</v>
      </c>
      <c r="AM31" s="1184">
        <f>IF(ISNUMBER(((NºAsuntos!I31/NºAsuntos!G31)*11)/factor_trimestre),((NºAsuntos!I31/NºAsuntos!G31)*11)/factor_trimestre," - ")</f>
        <v>5.7747969480679302</v>
      </c>
      <c r="AN31" s="1184">
        <f>IF(ISNUMBER('Resol  Asuntos'!D31/NºAsuntos!G31),'Resol  Asuntos'!D31/NºAsuntos!G31," - ")</f>
        <v>0.23578636475510706</v>
      </c>
      <c r="AO31" s="1185">
        <f>IF(ISNUMBER((NºAsuntos!C31+NºAsuntos!E31)/NºAsuntos!G31),(NºAsuntos!C31+NºAsuntos!E31)/NºAsuntos!G31," - ")</f>
        <v>1.5279350233817377</v>
      </c>
      <c r="AP31" s="1186" t="str">
        <f t="shared" si="2"/>
        <v xml:space="preserve"> - </v>
      </c>
      <c r="AQ31" s="1187">
        <f>IF(OR(ISNUMBER(FIND("01",Criterios!A8,1)),ISNUMBER(FIND("02",Criterios!A8,1)),ISNUMBER(FIND("03",Criterios!A8,1)),ISNUMBER(FIND("04",Criterios!A8,1))),(I31-W31+K31)/(F31-K31),(H31-W31+K31)/(F31-K31))</f>
        <v>-3.297640653357532</v>
      </c>
      <c r="AR31" s="1188">
        <f>IF(ISNUMBER((Datos!P31-Datos!Q31)/(Datos!R31-Datos!P31+Datos!Q31)),(Datos!P31-Datos!Q31)/(Datos!R31-Datos!P31+Datos!Q31)," - ")</f>
        <v>-3.0341340075853349E-2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276.82533602737067</v>
      </c>
      <c r="G33" s="277">
        <f>IF(ISNUMBER(STDEV(G8:G30)),STDEV(G8:G30),"-")</f>
        <v>273.44495398003392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816.41542296623891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278.97926190207858</v>
      </c>
      <c r="AJ33" s="276">
        <f t="shared" si="25"/>
        <v>0</v>
      </c>
      <c r="AK33" s="278">
        <f t="shared" si="25"/>
        <v>0</v>
      </c>
      <c r="AL33" s="273">
        <f t="shared" si="25"/>
        <v>6.3700775003126098E-2</v>
      </c>
      <c r="AM33" s="274">
        <f t="shared" si="25"/>
        <v>2.3580920195774984</v>
      </c>
      <c r="AN33" s="274">
        <f t="shared" si="25"/>
        <v>0.11983078587341081</v>
      </c>
      <c r="AO33" s="275">
        <f t="shared" si="25"/>
        <v>0.21341517695396706</v>
      </c>
      <c r="AP33" s="317" t="str">
        <f t="shared" si="25"/>
        <v>-</v>
      </c>
      <c r="AQ33" s="318">
        <f t="shared" si="25"/>
        <v>0.71847799929435352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dKElLw09Oo+ImUszvKKBBWlXUX49uf8BZuneZcEjaxfmCFkNlsuD/g90r/CLj7t+yRrdpFKYZLRUFqhqIZ10g==" saltValue="Y/09wD3PWZVa+p2keRIT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O PORRIÑO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-0.41176470588235292</v>
      </c>
      <c r="E10" s="393">
        <f>IF(ISNUMBER((Datos!J10-Datos!T10)/Datos!T10),(Datos!J10-Datos!T10)/Datos!T10," - ")</f>
        <v>1.1818181818181819</v>
      </c>
      <c r="F10" s="393">
        <f>IF(ISNUMBER((Datos!K10-Datos!U10)/Datos!U10),(Datos!K10-Datos!U10)/Datos!U10," - ")</f>
        <v>0.27777777777777779</v>
      </c>
      <c r="G10" s="394">
        <f>IF(ISNUMBER((Datos!L10-Datos!V10)/Datos!V10),(Datos!L10-Datos!V10)/Datos!V10," - ")</f>
        <v>0.1</v>
      </c>
      <c r="H10" s="244">
        <f>IF(ISNUMBER((Datos!M10-Datos!W10)/Datos!W10),(Datos!M10-Datos!W10)/Datos!W10," - ")</f>
        <v>0.25</v>
      </c>
      <c r="I10" s="395">
        <f>IF(ISNUMBER((Tasas!C10-Datos!BE10)/Datos!BE10),(Tasas!C10-Datos!BE10)/Datos!BE10," - ")</f>
        <v>-0.1391304347826087</v>
      </c>
      <c r="J10" s="394">
        <f>IF(ISNUMBER((Tasas!D10-Datos!BF10)/Datos!BF10),(Tasas!D10-Datos!BF10)/Datos!BF10," - ")</f>
        <v>-2.173913043478258E-2</v>
      </c>
      <c r="K10" s="396">
        <f>IF(ISNUMBER((Tasas!E10-Datos!BG10)/Datos!BG10),(Tasas!E10-Datos!BG10)/Datos!BG10," - ")</f>
        <v>-4.96894409937889E-2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4.6280991735537187E-2</v>
      </c>
      <c r="I12" s="395">
        <f>IF(ISNUMBER((Tasas!C12-Datos!BE12)/Datos!BE12),(Tasas!C12-Datos!BE12)/Datos!BE12," - ")</f>
        <v>0.15875083303745868</v>
      </c>
      <c r="J12" s="394">
        <f>IF(ISNUMBER((Tasas!D12-Datos!BF12)/Datos!BF12),(Tasas!D12-Datos!BF12)/Datos!BF12," - ")</f>
        <v>-0.10055202304096167</v>
      </c>
      <c r="K12" s="396">
        <f>IF(ISNUMBER((Tasas!E12-Datos!BG12)/Datos!BG12),(Tasas!E12-Datos!BG12)/Datos!BG12," - ")</f>
        <v>5.7347777741892349E-2</v>
      </c>
      <c r="M12" t="e">
        <f>IF(Monitorios="SI",Datos!CE12,0)</f>
        <v>#REF!</v>
      </c>
      <c r="N12" t="e">
        <f>IF(Monitorios="SI",Datos!CF12,0)</f>
        <v>#REF!</v>
      </c>
      <c r="O12" t="e">
        <f>IF(Monitorios="SI",Datos!CG12,0)</f>
        <v>#REF!</v>
      </c>
      <c r="P12" t="e">
        <f>IF(Monitorios="SI",Datos!CH12,0)</f>
        <v>#REF!</v>
      </c>
      <c r="Q12">
        <f>IF(J_V="SI",0,Datos!AG12)</f>
        <v>51</v>
      </c>
      <c r="R12">
        <f>IF(J_V="SI",0,Datos!AH12)</f>
        <v>285</v>
      </c>
      <c r="S12">
        <f>IF(J_V="SI",0,Datos!AI12)</f>
        <v>310</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4.8939641109298535E-2</v>
      </c>
      <c r="I14" s="402">
        <f>IF(ISNUMBER((Tasas!C14-Datos!BE14)/Datos!BE14),(Tasas!C14-Datos!BE14)/Datos!BE14," - ")</f>
        <v>0.15572163612968895</v>
      </c>
      <c r="J14" s="400">
        <f>IF(ISNUMBER((Tasas!D14-Datos!BF14)/Datos!BF14),(Tasas!D14-Datos!BF14)/Datos!BF14," - ")</f>
        <v>-9.8354445620714895E-2</v>
      </c>
      <c r="K14" s="403">
        <f>IF(ISNUMBER((Tasas!E14-Datos!BG14)/Datos!BG14),(Tasas!E14-Datos!BG14)/Datos!BG14," - ")</f>
        <v>5.6239083949529131E-2</v>
      </c>
      <c r="M14" t="e">
        <f>IF(Monitorios="SI",Datos!CE14,0)</f>
        <v>#REF!</v>
      </c>
      <c r="N14" t="e">
        <f>IF(Monitorios="SI",Datos!CF14,0)</f>
        <v>#REF!</v>
      </c>
      <c r="O14" t="e">
        <f>IF(Monitorios="SI",Datos!CG14,0)</f>
        <v>#REF!</v>
      </c>
      <c r="P14" t="e">
        <f>IF(Monitorios="SI",Datos!CH14,0)</f>
        <v>#REF!</v>
      </c>
      <c r="Q14">
        <f>IF(J_V="SI",0,Datos!AG14)</f>
        <v>51</v>
      </c>
      <c r="R14">
        <f>IF(J_V="SI",0,Datos!AH14)</f>
        <v>285</v>
      </c>
      <c r="S14">
        <f>IF(J_V="SI",0,Datos!AI14)</f>
        <v>310</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-7.5250836120401343E-2</v>
      </c>
      <c r="E17" s="393">
        <f>IF(ISNUMBER(
   IF(D_I="SI",(Datos!J17-Datos!T17)/Datos!T17,(Datos!J17+Datos!AD17-(Datos!T17+Datos!AL17))/(Datos!T17+Datos!AL17))
     ),IF(D_I="SI",(Datos!J17-Datos!T17)/Datos!T17,(Datos!J17+Datos!AD17-(Datos!T17+Datos!AL17))/(Datos!T17+Datos!AL17))," - ")</f>
        <v>1.9867549668874173E-2</v>
      </c>
      <c r="F17" s="393">
        <f>IF(ISNUMBER(
   IF(D_I="SI",(Datos!K17-Datos!U17)/Datos!U17,(Datos!K17+Datos!AE17-(Datos!U17+Datos!AM17))/(Datos!U17+Datos!AM17))
     ),IF(D_I="SI",(Datos!K17-Datos!U17)/Datos!U17,(Datos!K17+Datos!AE17-(Datos!U17+Datos!AM17))/(Datos!U17+Datos!AM17))," - ")</f>
        <v>-6.1813980358174467E-2</v>
      </c>
      <c r="G17" s="394">
        <f>IF(ISNUMBER(
   IF(D_I="SI",(Datos!L17-Datos!V17)/Datos!V17,(Datos!L17+Datos!AF17-(Datos!V17+Datos!AN17))/(Datos!V17+Datos!AN17))
     ),IF(D_I="SI",(Datos!L17-Datos!V17)/Datos!V17,(Datos!L17+Datos!AF17-(Datos!V17+Datos!AN17))/(Datos!V17+Datos!AN17))," - ")</f>
        <v>0.10488245931283906</v>
      </c>
      <c r="H17" s="244">
        <f>IF(ISNUMBER((Datos!M17-Datos!W17)/Datos!W17),(Datos!M17-Datos!W17)/Datos!W17," - ")</f>
        <v>-7.1207430340557279E-2</v>
      </c>
      <c r="I17" s="395">
        <f>IF(ISNUMBER((Tasas!C17-Datos!BE17)/Datos!BE17),(Tasas!C17-Datos!BE17)/Datos!BE17," - ")</f>
        <v>0.17767951790056935</v>
      </c>
      <c r="J17" s="394">
        <f>IF(ISNUMBER((Tasas!D17-Datos!BF17)/Datos!BF17),(Tasas!D17-Datos!BF17)/Datos!BF17," - ")</f>
        <v>-1.0012353398709718E-2</v>
      </c>
      <c r="K17" s="396">
        <f>IF(ISNUMBER((Tasas!E17-Datos!BG17)/Datos!BG17),(Tasas!E17-Datos!BG17)/Datos!BG17," - ")</f>
        <v>6.022461876631395E-2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-0.31372549019607843</v>
      </c>
      <c r="E18" s="393">
        <f>IF(ISNUMBER(
   IF(D_I="SI",(Datos!J18-Datos!T18)/Datos!T18,(Datos!J18+Datos!AD18-(Datos!T18+Datos!AL18))/(Datos!T18+Datos!AL18))
     ),IF(D_I="SI",(Datos!J18-Datos!T18)/Datos!T18,(Datos!J18+Datos!AD18-(Datos!T18+Datos!AL18))/(Datos!T18+Datos!AL18))," - ")</f>
        <v>4.8275862068965517E-2</v>
      </c>
      <c r="F18" s="393">
        <f>IF(ISNUMBER(
   IF(D_I="SI",(Datos!K18-Datos!U18)/Datos!U18,(Datos!K18+Datos!AE18-(Datos!U18+Datos!AM18))/(Datos!U18+Datos!AM18))
     ),IF(D_I="SI",(Datos!K18-Datos!U18)/Datos!U18,(Datos!K18+Datos!AE18-(Datos!U18+Datos!AM18))/(Datos!U18+Datos!AM18))," - ")</f>
        <v>-1.1627906976744186E-2</v>
      </c>
      <c r="G18" s="394">
        <f>IF(ISNUMBER(
   IF(D_I="SI",(Datos!L18-Datos!V18)/Datos!V18,(Datos!L18+Datos!AF18-(Datos!V18+Datos!AN18))/(Datos!V18+Datos!AN18))
     ),IF(D_I="SI",(Datos!L18-Datos!V18)/Datos!V18,(Datos!L18+Datos!AF18-(Datos!V18+Datos!AN18))/(Datos!V18+Datos!AN18))," - ")</f>
        <v>-0.51428571428571423</v>
      </c>
      <c r="H18" s="244">
        <f>IF(ISNUMBER((Datos!M18-Datos!W18)/Datos!W18),(Datos!M18-Datos!W18)/Datos!W18," - ")</f>
        <v>0.66666666666666663</v>
      </c>
      <c r="I18" s="395">
        <f>IF(ISNUMBER((Tasas!C18-Datos!BE18)/Datos!BE18),(Tasas!C18-Datos!BE18)/Datos!BE18," - ")</f>
        <v>-0.50857142857142856</v>
      </c>
      <c r="J18" s="394">
        <f>IF(ISNUMBER((Tasas!D18-Datos!BF18)/Datos!BF18),(Tasas!D18-Datos!BF18)/Datos!BF18," - ")</f>
        <v>0.68627450980392157</v>
      </c>
      <c r="K18" s="396">
        <f>IF(ISNUMBER((Tasas!E18-Datos!BG18)/Datos!BG18),(Tasas!E18-Datos!BG18)/Datos!BG18," - ")</f>
        <v>-3.4693877551020352E-2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-9.3990755007704166E-2</v>
      </c>
      <c r="E23" s="399">
        <f>IF(ISNUMBER(
   IF(D_I="SI",(Datos!J23-Datos!T23)/Datos!T23,(Datos!J23+Datos!AD23-(Datos!T23+Datos!AL23))/(Datos!T23+Datos!AL23))
     ),IF(D_I="SI",(Datos!J23-Datos!T23)/Datos!T23,(Datos!J23+Datos!AD23-(Datos!T23+Datos!AL23))/(Datos!T23+Datos!AL23))," - ")</f>
        <v>2.2148394241417499E-2</v>
      </c>
      <c r="F23" s="399">
        <f>IF(ISNUMBER(
   IF(D_I="SI",(Datos!K23-Datos!U23)/Datos!U23,(Datos!K23+Datos!AE23-(Datos!U23+Datos!AM23))/(Datos!U23+Datos!AM23))
     ),IF(D_I="SI",(Datos!K23-Datos!U23)/Datos!U23,(Datos!K23+Datos!AE23-(Datos!U23+Datos!AM23))/(Datos!U23+Datos!AM23))," - ")</f>
        <v>-5.727798213347346E-2</v>
      </c>
      <c r="G23" s="400">
        <f>IF(ISNUMBER(
   IF(D_I="SI",(Datos!L23-Datos!V23)/Datos!V23,(Datos!L23+Datos!AF23-(Datos!V23+Datos!AN23))/(Datos!V23+Datos!AN23))
     ),IF(D_I="SI",(Datos!L23-Datos!V23)/Datos!V23,(Datos!L23+Datos!AF23-(Datos!V23+Datos!AN23))/(Datos!V23+Datos!AN23))," - ")</f>
        <v>6.8027210884353748E-2</v>
      </c>
      <c r="H23" s="401">
        <f>IF(ISNUMBER((Datos!M23-Datos!W23)/Datos!W23),(Datos!M23-Datos!W23)/Datos!W23," - ")</f>
        <v>-5.1204819277108432E-2</v>
      </c>
      <c r="I23" s="402">
        <f>IF(ISNUMBER((Tasas!C23-Datos!BE23)/Datos!BE23),(Tasas!C23-Datos!BE23)/Datos!BE23," - ")</f>
        <v>0.13291849627253363</v>
      </c>
      <c r="J23" s="400">
        <f>IF(ISNUMBER((Tasas!D23-Datos!BF23)/Datos!BF23),(Tasas!D23-Datos!BF23)/Datos!BF23," - ")</f>
        <v>6.4421565862110243E-3</v>
      </c>
      <c r="K23" s="403">
        <f>IF(ISNUMBER((Tasas!E23-Datos!BG23)/Datos!BG23),(Tasas!E23-Datos!BG23)/Datos!BG23," - ")</f>
        <v>5.1684388105179745E-2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-0.16493127863390253</v>
      </c>
      <c r="E31" s="409">
        <f>IF(ISNUMBER(
   IF(J_V="SI",(Datos!J31-Datos!T31)/Datos!T31,(Datos!J31+Datos!Z31-(Datos!T31+Datos!AH31))/(Datos!T31+Datos!AH31))
     ),IF(J_V="SI",(Datos!J31-Datos!T31)/Datos!T31,(Datos!J31+Datos!Z31-(Datos!T31+Datos!AH31))/(Datos!T31+Datos!AH31))," - ")</f>
        <v>6.6210045662100453E-2</v>
      </c>
      <c r="F31" s="409">
        <f>IF(ISNUMBER(
   IF(J_V="SI",(Datos!K31-Datos!U31)/Datos!U31,(Datos!K31+Datos!AA31-(Datos!U31+Datos!AI31))/(Datos!U31+Datos!AI31))
     ),IF(J_V="SI",(Datos!K31-Datos!U31)/Datos!U31,(Datos!K31+Datos!AA31-(Datos!U31+Datos!AI31))/(Datos!U31+Datos!AI31))," - ")</f>
        <v>-7.0677035681610254E-2</v>
      </c>
      <c r="G31" s="410">
        <f>IF(ISNUMBER(
   IF(J_V="SI",(Datos!L31-Datos!V31)/Datos!V31,(Datos!L31+Datos!AB31-(Datos!V31+Datos!AJ31))/(Datos!V31+Datos!AJ31))
     ),IF(J_V="SI",(Datos!L31-Datos!V31)/Datos!V31,(Datos!L31+Datos!AB31-(Datos!V31+Datos!AJ31))/(Datos!V31+Datos!AJ31))," - ")</f>
        <v>6.3840399002493761E-2</v>
      </c>
      <c r="H31" s="411">
        <f>IF(ISNUMBER((Datos!M31-Datos!W31)/Datos!W31),(Datos!M31-Datos!W31)/Datos!W31," - ")</f>
        <v>1.3756613756613757E-2</v>
      </c>
      <c r="I31" s="408">
        <f>IF(ISNUMBER((Tasas!C31-Datos!BE31)/Datos!BE31),(Tasas!C31-Datos!BE31)/Datos!BE31," - ")</f>
        <v>0.14474777859682555</v>
      </c>
      <c r="J31" s="409">
        <f>IF(ISNUMBER((Tasas!D31-Datos!BF31)/Datos!BF31),(Tasas!D31-Datos!BF31)/Datos!BF31," - ")</f>
        <v>-6.9622755677501674E-2</v>
      </c>
      <c r="K31" s="410">
        <f>IF(ISNUMBER((Tasas!E31-Datos!BG31)/Datos!BG31),(Tasas!E31-Datos!BG31)/Datos!BG31," - ")</f>
        <v>5.3150232102310763E-2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0.16566488645599911</v>
      </c>
      <c r="E33" s="303">
        <f t="shared" si="1"/>
        <v>0.57600465546971447</v>
      </c>
      <c r="F33" s="303">
        <f t="shared" si="1"/>
        <v>0.16226617058990933</v>
      </c>
      <c r="G33" s="304">
        <f t="shared" si="1"/>
        <v>0.30306887498038299</v>
      </c>
      <c r="H33" s="310">
        <f t="shared" si="1"/>
        <v>0.27832100796311049</v>
      </c>
      <c r="I33" s="302">
        <f t="shared" si="1"/>
        <v>0.27444679094382496</v>
      </c>
      <c r="J33" s="303">
        <f t="shared" si="1"/>
        <v>0.30192327005295416</v>
      </c>
      <c r="K33" s="304">
        <f t="shared" si="1"/>
        <v>5.1193352260754943E-2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kpgjykK+8bFhmIic67GtXsUq1g5CCfhxzN32EcPOyJqa8ILKFuKh4qxxSsNHwCtc3oz1PKDQ9Gq38ln6BxIQ==" saltValue="AHVD6x0p/fxZbwpPCFCA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